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<sst xmlns="http://schemas.openxmlformats.org/spreadsheetml/2006/main" uniqueCount="1065">
  <si>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Прайс-лист на бытовую пиротехнику от компании "Огонёк"</t>
  </si>
  <si>
    <t>тел.:</t>
  </si>
  <si>
    <t>+7(916) 074-00-54</t>
  </si>
  <si>
    <t xml:space="preserve">web: </t>
  </si>
  <si>
    <t>http://pirotehnika-optom.ru/</t>
  </si>
  <si>
    <t>Дата обновления: 13.10.2026 03:24:23</t>
  </si>
  <si>
    <t>№ п/п</t>
  </si>
  <si>
    <t>Тип</t>
  </si>
  <si>
    <t>Торговая марка</t>
  </si>
  <si>
    <t>Артикул</t>
  </si>
  <si>
    <t>Наименование</t>
  </si>
  <si>
    <t>Ед. изм.</t>
  </si>
  <si>
    <t>Фасовка</t>
  </si>
  <si>
    <t>Ед. в коробке</t>
  </si>
  <si>
    <t>Цена за ед.изм.</t>
  </si>
  <si>
    <t>Цена за шт.</t>
  </si>
  <si>
    <t>Наличие ед.изм.</t>
  </si>
  <si>
    <t>Просмотр товара</t>
  </si>
  <si>
    <t>Первый оптовый                      интернет-магазин пиротехники           с доставкой по РФ</t>
  </si>
  <si>
    <t>ИП Иванова Светлана Владимировна, ИНН: 504203081285</t>
  </si>
  <si>
    <t xml:space="preserve">Офис: </t>
  </si>
  <si>
    <t>МО, г. Сергиев Посад, Московское ш., дом 22А</t>
  </si>
  <si>
    <t xml:space="preserve">Склад: </t>
  </si>
  <si>
    <t>МО, г. Сергиев Посад, ул. Симоненкова, дом 17а</t>
  </si>
  <si>
    <t xml:space="preserve">Тел.: </t>
  </si>
  <si>
    <t>+7 (916) 074-00-54</t>
  </si>
  <si>
    <t xml:space="preserve">e-mail: </t>
  </si>
  <si>
    <t>pirotehnika-optom@mail.ru</t>
  </si>
  <si>
    <t>В прайс-листе указаны свободные для заказа остатки(см. столбец "Наличие ед. изм.")</t>
  </si>
  <si>
    <t>Имеется накопительная система скидок от 5 до 47%</t>
  </si>
  <si>
    <t xml:space="preserve">Оформить заказ можно на сайте </t>
  </si>
  <si>
    <t>Для получения консультации звоните по тел.: +7(916) 074-00-54</t>
  </si>
  <si>
    <t>Петарды</t>
  </si>
  <si>
    <t>Рус.Фей-рк</t>
  </si>
  <si>
    <t>Р1070</t>
  </si>
  <si>
    <t>Сокол</t>
  </si>
  <si>
    <t>уп.</t>
  </si>
  <si>
    <t xml:space="preserve"> </t>
  </si>
  <si>
    <t>Р1073</t>
  </si>
  <si>
    <t>Ястреб</t>
  </si>
  <si>
    <t>Р1075</t>
  </si>
  <si>
    <t>Коршун</t>
  </si>
  <si>
    <t>Р1080</t>
  </si>
  <si>
    <t>Пинчер</t>
  </si>
  <si>
    <t>Р1083</t>
  </si>
  <si>
    <t>Бульдог</t>
  </si>
  <si>
    <t>Р1088</t>
  </si>
  <si>
    <t>Алабай</t>
  </si>
  <si>
    <t>Р1106</t>
  </si>
  <si>
    <t>Корсар-1 (терочные)</t>
  </si>
  <si>
    <t>бл.</t>
  </si>
  <si>
    <t>12/60</t>
  </si>
  <si>
    <t>Р1202</t>
  </si>
  <si>
    <t>Корсар 2</t>
  </si>
  <si>
    <t>15/20</t>
  </si>
  <si>
    <t>Р1301</t>
  </si>
  <si>
    <t>Корсар-3</t>
  </si>
  <si>
    <t>10/10</t>
  </si>
  <si>
    <t>Р1320</t>
  </si>
  <si>
    <t>Бам-бух</t>
  </si>
  <si>
    <t>20/6</t>
  </si>
  <si>
    <t>Р1400</t>
  </si>
  <si>
    <t>Корсар 4</t>
  </si>
  <si>
    <t>12/12</t>
  </si>
  <si>
    <t>Рус.Пир-ка</t>
  </si>
  <si>
    <t>РС0323</t>
  </si>
  <si>
    <t>Команда Корсара Моргана 3 (терочные)</t>
  </si>
  <si>
    <t>шт.</t>
  </si>
  <si>
    <t>РС0525</t>
  </si>
  <si>
    <t>Команда корсара Моргана 5Ф</t>
  </si>
  <si>
    <t>РС0525уц3</t>
  </si>
  <si>
    <t>РС1100</t>
  </si>
  <si>
    <t>Джамбо</t>
  </si>
  <si>
    <t>РС1100уц3</t>
  </si>
  <si>
    <t>РС1110</t>
  </si>
  <si>
    <t>Супер-Джамбо</t>
  </si>
  <si>
    <t>РС1310уц3</t>
  </si>
  <si>
    <t>SUPER бомбейка</t>
  </si>
  <si>
    <t>10/5</t>
  </si>
  <si>
    <t>ТСЗ</t>
  </si>
  <si>
    <t>ТР270</t>
  </si>
  <si>
    <t>Смерч-8</t>
  </si>
  <si>
    <t>ТР271</t>
  </si>
  <si>
    <t>Петарда Смерч-10</t>
  </si>
  <si>
    <t>Maxsem</t>
  </si>
  <si>
    <t>GB605</t>
  </si>
  <si>
    <t>Трещащие шары / Crackling ball (фитильные)</t>
  </si>
  <si>
    <t>12/6</t>
  </si>
  <si>
    <t>K0201</t>
  </si>
  <si>
    <t>Корсар 1 / Super warrior (терочные)</t>
  </si>
  <si>
    <t>10/60</t>
  </si>
  <si>
    <t>K0202</t>
  </si>
  <si>
    <t>Корсар 2 / Monster (терочные)</t>
  </si>
  <si>
    <t>10/20</t>
  </si>
  <si>
    <t>K0203</t>
  </si>
  <si>
    <t>Корсар 3 / Little Pirat</t>
  </si>
  <si>
    <t>P1004</t>
  </si>
  <si>
    <t>Strzelajace diabelki (бертолетова соль)</t>
  </si>
  <si>
    <t>50/50</t>
  </si>
  <si>
    <t>P1004L</t>
  </si>
  <si>
    <t>BIG SHAPER</t>
  </si>
  <si>
    <t>20/50</t>
  </si>
  <si>
    <t>P1104уц3</t>
  </si>
  <si>
    <t>Пистоны Plastic Ring Cap</t>
  </si>
  <si>
    <t>72/72</t>
  </si>
  <si>
    <t>P20</t>
  </si>
  <si>
    <t>Петарды Explosive</t>
  </si>
  <si>
    <t>Ракеты</t>
  </si>
  <si>
    <t>РС2310</t>
  </si>
  <si>
    <t>Перехват-12 (1,1")</t>
  </si>
  <si>
    <t>GWR6117</t>
  </si>
  <si>
    <t>Ракеты GWR6117, URANUS, 7 шт</t>
  </si>
  <si>
    <t>GWR859A</t>
  </si>
  <si>
    <t>PURPLE RAIN, 14 шт</t>
  </si>
  <si>
    <t>GWRXL</t>
  </si>
  <si>
    <t>Набор ракет 9</t>
  </si>
  <si>
    <t>GWRXXL</t>
  </si>
  <si>
    <t>Набор XXL 12 ракет</t>
  </si>
  <si>
    <t xml:space="preserve">Вращающиеся фейерверки </t>
  </si>
  <si>
    <t>Р1032</t>
  </si>
  <si>
    <t>Вспыш</t>
  </si>
  <si>
    <t>18/6</t>
  </si>
  <si>
    <t>Р3110</t>
  </si>
  <si>
    <t>Лунный цветок</t>
  </si>
  <si>
    <t>РС1370</t>
  </si>
  <si>
    <t>Торнадо</t>
  </si>
  <si>
    <t>РС1375уц3</t>
  </si>
  <si>
    <t>Светлячок</t>
  </si>
  <si>
    <t>РС1384</t>
  </si>
  <si>
    <t>Искристый смерч</t>
  </si>
  <si>
    <t>РС1386</t>
  </si>
  <si>
    <t>Космолёт</t>
  </si>
  <si>
    <t>РС1447</t>
  </si>
  <si>
    <t>Вертушка Ланцет</t>
  </si>
  <si>
    <t>РС1447уц3</t>
  </si>
  <si>
    <t>РС2520</t>
  </si>
  <si>
    <t>Танцующие бабочки</t>
  </si>
  <si>
    <t>Фонтаны</t>
  </si>
  <si>
    <t>Р4040</t>
  </si>
  <si>
    <t>Эльф, конус 4"</t>
  </si>
  <si>
    <t>Р4042</t>
  </si>
  <si>
    <t>Ёжик 4"</t>
  </si>
  <si>
    <t>Р4050</t>
  </si>
  <si>
    <t>Чудо, конус 5"</t>
  </si>
  <si>
    <t>Р4062</t>
  </si>
  <si>
    <t>Ёрш, конус 6"</t>
  </si>
  <si>
    <t>Р4064</t>
  </si>
  <si>
    <t>Лапки 6"</t>
  </si>
  <si>
    <t>Р4066</t>
  </si>
  <si>
    <t>Звёздная пыль (конус 6")</t>
  </si>
  <si>
    <t>Р4101</t>
  </si>
  <si>
    <t>Какаду 9"</t>
  </si>
  <si>
    <t>Р4116</t>
  </si>
  <si>
    <t>Мороз-party</t>
  </si>
  <si>
    <t>Р4202</t>
  </si>
  <si>
    <t>Р4213</t>
  </si>
  <si>
    <t>Чародей</t>
  </si>
  <si>
    <t>Р4810</t>
  </si>
  <si>
    <t>Настольный фонтан</t>
  </si>
  <si>
    <t>12/4</t>
  </si>
  <si>
    <t>Р4810уц1</t>
  </si>
  <si>
    <t>Р6720</t>
  </si>
  <si>
    <t>Салют-проказник</t>
  </si>
  <si>
    <t>РС1950</t>
  </si>
  <si>
    <t>Фонтан настольный "Экстра" (12 см)</t>
  </si>
  <si>
    <t>РС4010</t>
  </si>
  <si>
    <t>Фонтан пиротехнический "Калаш"</t>
  </si>
  <si>
    <t>РС4020</t>
  </si>
  <si>
    <t>Волшебная палочка</t>
  </si>
  <si>
    <t>РС4030</t>
  </si>
  <si>
    <t>Лапа Йети</t>
  </si>
  <si>
    <t>РС4088</t>
  </si>
  <si>
    <t>Праздничный</t>
  </si>
  <si>
    <t>РС4090</t>
  </si>
  <si>
    <t>Свадебный (60 сек, до 3 м)</t>
  </si>
  <si>
    <t>РС4110</t>
  </si>
  <si>
    <t>Букет фиалок</t>
  </si>
  <si>
    <t>РС4375</t>
  </si>
  <si>
    <t>Стрелы Купидона</t>
  </si>
  <si>
    <t>РС4520</t>
  </si>
  <si>
    <t>Мир для двоих</t>
  </si>
  <si>
    <t>HF-001</t>
  </si>
  <si>
    <t>Фонтан ручной</t>
  </si>
  <si>
    <t>HF-002</t>
  </si>
  <si>
    <t>Фонтан ручной:поток цветных искр</t>
  </si>
  <si>
    <t>MF-001уц3</t>
  </si>
  <si>
    <t>Тортовые свечи/Golden Fountain 12,5см (40 сек.)</t>
  </si>
  <si>
    <t>45/4</t>
  </si>
  <si>
    <t>MF-004уц3</t>
  </si>
  <si>
    <t>Тортовые свечи / Flower Fountain 10см (30 сек.)</t>
  </si>
  <si>
    <t>MF-006</t>
  </si>
  <si>
    <t>Тортовые свечи/Искристый 10 см (30 сек.)</t>
  </si>
  <si>
    <t>Римские свечи</t>
  </si>
  <si>
    <t>Р5300</t>
  </si>
  <si>
    <t>Вьюга (0.6'х 8)</t>
  </si>
  <si>
    <t>Р5310</t>
  </si>
  <si>
    <t>Сакура (0.5"х10)</t>
  </si>
  <si>
    <t>Р5320</t>
  </si>
  <si>
    <t>Егоза (0,4"х10)</t>
  </si>
  <si>
    <t>Р5800</t>
  </si>
  <si>
    <t>Альтаир (1.5"х 8)</t>
  </si>
  <si>
    <t>Р5940</t>
  </si>
  <si>
    <t>Базука (0,8"x24)</t>
  </si>
  <si>
    <t>РС5820</t>
  </si>
  <si>
    <t>Связка римскийх свечей РПО Шмель(0.3x320)</t>
  </si>
  <si>
    <t xml:space="preserve">РС5870   </t>
  </si>
  <si>
    <t>Связка римских свечей ЗРК Куб (0.3"х123)</t>
  </si>
  <si>
    <t>SF-2019</t>
  </si>
  <si>
    <t>Связка римскийх свечей Gatling(0.4"x380)</t>
  </si>
  <si>
    <t>Фестивальные шары</t>
  </si>
  <si>
    <t>РС3590</t>
  </si>
  <si>
    <t>Десант (1.4"x1)</t>
  </si>
  <si>
    <t>РС3595</t>
  </si>
  <si>
    <t>ВДВ (1,85"x1)</t>
  </si>
  <si>
    <t>Батареи салютов</t>
  </si>
  <si>
    <t>Р7020</t>
  </si>
  <si>
    <t>Малибу (0.7" х 20)</t>
  </si>
  <si>
    <t>Р8323</t>
  </si>
  <si>
    <t>От заката до рассвета (0.8”-1.25”-2” х 158)</t>
  </si>
  <si>
    <t>ОС6413</t>
  </si>
  <si>
    <t>Прага (0,8"х36)</t>
  </si>
  <si>
    <t>РС5880</t>
  </si>
  <si>
    <t>Сенсация (0.5"х600)</t>
  </si>
  <si>
    <t>РС5883</t>
  </si>
  <si>
    <t>Премьера (0.5"х800)</t>
  </si>
  <si>
    <t>РС6010</t>
  </si>
  <si>
    <t>Конфетки-бараночки (0,6"х36)</t>
  </si>
  <si>
    <t>РС6012</t>
  </si>
  <si>
    <t>Три кота (0,6"х36)</t>
  </si>
  <si>
    <t>РС6075</t>
  </si>
  <si>
    <t>Новогодняя вечеринка (0.6"х168)</t>
  </si>
  <si>
    <t>РС6136</t>
  </si>
  <si>
    <t>Пиро квест (0.7" x 8)</t>
  </si>
  <si>
    <t>РС6250</t>
  </si>
  <si>
    <t>Веселый пиротехник (0.7" x 10)</t>
  </si>
  <si>
    <t>РС6305</t>
  </si>
  <si>
    <t>Снегурочка (0.8" x 16)</t>
  </si>
  <si>
    <t>РС6310</t>
  </si>
  <si>
    <t>Ритм жизни (0.8" х 16) МОДУЛЬ</t>
  </si>
  <si>
    <t>РС6365</t>
  </si>
  <si>
    <t>Фифочка (0,8"х19)</t>
  </si>
  <si>
    <t>РС6385</t>
  </si>
  <si>
    <t>Зимовёнок Кузя (0,9"х20)</t>
  </si>
  <si>
    <t>РС6412</t>
  </si>
  <si>
    <t>Даёшь молодёжь! (0.8"х25)</t>
  </si>
  <si>
    <t>РС6421</t>
  </si>
  <si>
    <t>ЮНЫЙ ДЕДМОРОЗОВЕЦ(0.9"x25)</t>
  </si>
  <si>
    <t>РС6641</t>
  </si>
  <si>
    <t>Новогодняя соточка (0.8" х 100)</t>
  </si>
  <si>
    <t>РС6643</t>
  </si>
  <si>
    <t>Тариф "Новогодний" (0,8"х100)</t>
  </si>
  <si>
    <t>РС6645</t>
  </si>
  <si>
    <t>Новогодний вайб(0.8" х 100)</t>
  </si>
  <si>
    <t>РС6700</t>
  </si>
  <si>
    <t>Миллион лайков (0,8"х200)</t>
  </si>
  <si>
    <t>РС6800</t>
  </si>
  <si>
    <t>Красота с гарантией (0,8"х450)</t>
  </si>
  <si>
    <t>РС7077</t>
  </si>
  <si>
    <t>УПС:Ужасно Прикольный Салют! (1.1" х 19)</t>
  </si>
  <si>
    <t>РС7458</t>
  </si>
  <si>
    <t>Русские витязи (1,0"х80)</t>
  </si>
  <si>
    <t>РС7581</t>
  </si>
  <si>
    <t>Чудо Новогоднего салюта (1,1"х99)</t>
  </si>
  <si>
    <t>РС7585</t>
  </si>
  <si>
    <t>Пусть будет щедрым Новый год!(1,1"х99)</t>
  </si>
  <si>
    <t>РС8069</t>
  </si>
  <si>
    <t>Русские гонки (1.25" х 12)</t>
  </si>
  <si>
    <t>РС8245</t>
  </si>
  <si>
    <t>Русская охота (1.25" х 36)</t>
  </si>
  <si>
    <t>РС8250</t>
  </si>
  <si>
    <t>Обыкновенное чудо (1.2" х 36) МОДУЛЬ</t>
  </si>
  <si>
    <t>РС8292</t>
  </si>
  <si>
    <t>Неон-36 (1.25" х 36)</t>
  </si>
  <si>
    <t>РС8370</t>
  </si>
  <si>
    <t>Доброе сердце (1,1"х48)</t>
  </si>
  <si>
    <t>РС8452</t>
  </si>
  <si>
    <t>Салют на Юбилей (1.25" х 50)</t>
  </si>
  <si>
    <t>РС8611</t>
  </si>
  <si>
    <t>Салют Фаберже(1.1"x80)</t>
  </si>
  <si>
    <t>РС8631</t>
  </si>
  <si>
    <t>Куршавель(1.1"x80)</t>
  </si>
  <si>
    <t>РС8650</t>
  </si>
  <si>
    <t>Белый танец (1,1"х88)</t>
  </si>
  <si>
    <t>РС8655</t>
  </si>
  <si>
    <t>Лезгинка (1,1"х88)</t>
  </si>
  <si>
    <t>РС8680</t>
  </si>
  <si>
    <t>Супер-пупер-ультра-мега (1,25"х90)</t>
  </si>
  <si>
    <t>РС8710</t>
  </si>
  <si>
    <t>Брутальный (1.25" x 100)</t>
  </si>
  <si>
    <t>РС8721</t>
  </si>
  <si>
    <t>Пусть жизнь будет яркой (1.2"х99)</t>
  </si>
  <si>
    <t>РС8811</t>
  </si>
  <si>
    <t>Большой салют (1.2"х99)</t>
  </si>
  <si>
    <t>РС8830</t>
  </si>
  <si>
    <t>Звезды Москвы (1.25" x 100)</t>
  </si>
  <si>
    <t>РС8831</t>
  </si>
  <si>
    <t>Звёзды Москвы (1,2"х99)</t>
  </si>
  <si>
    <t xml:space="preserve">РС8835 </t>
  </si>
  <si>
    <t>Настроение праздника (1,2"х99)</t>
  </si>
  <si>
    <t>РС8900</t>
  </si>
  <si>
    <t>Мегаполис (1.25" x 150)</t>
  </si>
  <si>
    <t>РС8901</t>
  </si>
  <si>
    <t>Высшая проба (1.25" х 150)</t>
  </si>
  <si>
    <t>РС8910</t>
  </si>
  <si>
    <t>Салют по-русски! (1,25"х160)</t>
  </si>
  <si>
    <t>РС8950</t>
  </si>
  <si>
    <t>Федерация (1.25" x 200)</t>
  </si>
  <si>
    <t>РС9035</t>
  </si>
  <si>
    <t>Подарок от друзей (0.8"-1"-1.2" x 56) с веерными залпами</t>
  </si>
  <si>
    <t>РС9050</t>
  </si>
  <si>
    <t>СИРИУС (0.8"-1"-1.2" x 100)</t>
  </si>
  <si>
    <t>РС9058</t>
  </si>
  <si>
    <t>На всю катушку(1-"1.2" х 116)</t>
  </si>
  <si>
    <t>РС9070</t>
  </si>
  <si>
    <t>Салют достойный президента! (1.2"-2" x 126)</t>
  </si>
  <si>
    <t>РС9075</t>
  </si>
  <si>
    <t>Хит сезона(1"-1.2"-2" х 130)</t>
  </si>
  <si>
    <t>РС9080</t>
  </si>
  <si>
    <t>Русская зима (0.8"-1"-1.2" x 136)</t>
  </si>
  <si>
    <t>РС9090</t>
  </si>
  <si>
    <t>Бомбический (0.8"-1.2" x 147)</t>
  </si>
  <si>
    <t>РС9230</t>
  </si>
  <si>
    <t>Русская душа (1"-1.2"-1.5" x 175)</t>
  </si>
  <si>
    <t>РС9232</t>
  </si>
  <si>
    <t>Явное преимущество(1"-1,2"-1,5"х228)</t>
  </si>
  <si>
    <t>РС9234</t>
  </si>
  <si>
    <t>Русский мир (1"-1,2"-1,5"х228)</t>
  </si>
  <si>
    <t>РС9235</t>
  </si>
  <si>
    <t>Служу Отечеству (0.8"-1"-1.2" x 220) с веерными залпами</t>
  </si>
  <si>
    <t>РС9236</t>
  </si>
  <si>
    <t>ВечерИночка(0.8"-1"-1.2-"1.5"х222)</t>
  </si>
  <si>
    <t>РС9237</t>
  </si>
  <si>
    <t>Жизнь прекрасна! (0.8"-1"-1.2"x274)</t>
  </si>
  <si>
    <t>РС9240</t>
  </si>
  <si>
    <t>Любовь и голуби (0.8"-1"-1.2" x 288)</t>
  </si>
  <si>
    <t>РС9250</t>
  </si>
  <si>
    <t>Достояние республики (0.7"-1.2" x 378)</t>
  </si>
  <si>
    <t>РС9290</t>
  </si>
  <si>
    <t>Профессиональный(0.8"-1"-1.2" х 578)</t>
  </si>
  <si>
    <t>РС9527</t>
  </si>
  <si>
    <t>КрупноГабаритный Салют (1.5"х88)</t>
  </si>
  <si>
    <t>РС9535</t>
  </si>
  <si>
    <t>Герой России (1.5" х 100)</t>
  </si>
  <si>
    <t>РС9620</t>
  </si>
  <si>
    <t>ММС: Мега Мощный Салют (2" x 19)</t>
  </si>
  <si>
    <t>РС9640</t>
  </si>
  <si>
    <t>Красивая жизнь (2" x 25)</t>
  </si>
  <si>
    <t>РС9650</t>
  </si>
  <si>
    <t>Я люблю Россию (2" x 36)</t>
  </si>
  <si>
    <t>РС9710</t>
  </si>
  <si>
    <t>Курская битва (2.75" х 19)</t>
  </si>
  <si>
    <t>РС9740</t>
  </si>
  <si>
    <t>Пётр Великий (2.75" х 25)</t>
  </si>
  <si>
    <t>РС9750</t>
  </si>
  <si>
    <t>Взятие Берлина (2.75" х 49)</t>
  </si>
  <si>
    <t>ТР401</t>
  </si>
  <si>
    <t>Мини фейерверк "Веселый праздник" (0.8" х 10)</t>
  </si>
  <si>
    <t>ТР401уц1</t>
  </si>
  <si>
    <t>ТР402уц1</t>
  </si>
  <si>
    <t>Мини-фейерверк "Веселый праздник" (0.8"x20)</t>
  </si>
  <si>
    <t>GWT2542</t>
  </si>
  <si>
    <t>Катюша 50 / Saturn missile (0.3" x 50)</t>
  </si>
  <si>
    <t>K1130C12</t>
  </si>
  <si>
    <t>SATURN MISSILE BATTERY 100 (0.2" х 100)</t>
  </si>
  <si>
    <t>M1222</t>
  </si>
  <si>
    <t>FLASH (1.2" x 13)</t>
  </si>
  <si>
    <t>M1251</t>
  </si>
  <si>
    <t>FLOWER BOOM (1.2" x 19)</t>
  </si>
  <si>
    <t>M1255</t>
  </si>
  <si>
    <t>CITY LIGHT (1.2" x 19)</t>
  </si>
  <si>
    <t>MC200-70</t>
  </si>
  <si>
    <t>Драгоценные камни / Gems(2" x 70)</t>
  </si>
  <si>
    <t>SB-13-01</t>
  </si>
  <si>
    <t>Эмир Бухарский(1.2" x 13)</t>
  </si>
  <si>
    <t>Огненный Цветок</t>
  </si>
  <si>
    <t>ОС6005</t>
  </si>
  <si>
    <t>Маршмеллоу (0.3"-0.5"х96)</t>
  </si>
  <si>
    <t>ОС6035</t>
  </si>
  <si>
    <t>Кенгуру (0.7"x8)</t>
  </si>
  <si>
    <t>ОС6038</t>
  </si>
  <si>
    <t>Крепыш (0,7"х8)</t>
  </si>
  <si>
    <t>ОС6039</t>
  </si>
  <si>
    <t>Задоринка (0,7"х10)</t>
  </si>
  <si>
    <t>ОС6042</t>
  </si>
  <si>
    <t>Вождь краснокожих (0,8"х10)</t>
  </si>
  <si>
    <t>ОС6045</t>
  </si>
  <si>
    <t>Бумеранг (0,8"х13)</t>
  </si>
  <si>
    <t>ОС6220</t>
  </si>
  <si>
    <t>Аниме (0.8" х 16)</t>
  </si>
  <si>
    <t>ОС6221</t>
  </si>
  <si>
    <t>Оригами (0.8" х 16)</t>
  </si>
  <si>
    <t>ОС6240</t>
  </si>
  <si>
    <t>Лапландия (0,8"х19)</t>
  </si>
  <si>
    <t>ОС6245</t>
  </si>
  <si>
    <t>Зимние Альпы (0,8"х19)</t>
  </si>
  <si>
    <t>ОС6255</t>
  </si>
  <si>
    <t>Веснушки (0.8" х 19)</t>
  </si>
  <si>
    <t>ОС6320</t>
  </si>
  <si>
    <t>Феникс (0.8" х 25)</t>
  </si>
  <si>
    <t>ОС6330</t>
  </si>
  <si>
    <t>Ход конём (0.8" х 25)</t>
  </si>
  <si>
    <t>ОС6341</t>
  </si>
  <si>
    <t>Финт ушами (0.8"x25)</t>
  </si>
  <si>
    <t>ОС6425</t>
  </si>
  <si>
    <t>Ледяное ожидание (0,8"х36)</t>
  </si>
  <si>
    <t>ОС7265</t>
  </si>
  <si>
    <t>Дедморозовка (1,1" х 19)</t>
  </si>
  <si>
    <t>ОС7425</t>
  </si>
  <si>
    <t>Моя отрада... (1.1" х 36)</t>
  </si>
  <si>
    <t>ОС7546</t>
  </si>
  <si>
    <t>Салют для счастливых мгновений (1,1"х48)</t>
  </si>
  <si>
    <t>ОС8250</t>
  </si>
  <si>
    <t>Чили (1.1"x19)</t>
  </si>
  <si>
    <t>Fire Flower</t>
  </si>
  <si>
    <t>ОС6411</t>
  </si>
  <si>
    <t>Боливар (0,8"х36)</t>
  </si>
  <si>
    <t>ОС6414</t>
  </si>
  <si>
    <t>Джума Мубарак/С благословенной пятницей (0,9"х35)</t>
  </si>
  <si>
    <t>ОС6429</t>
  </si>
  <si>
    <t>Сомбреро (0,8"х49)</t>
  </si>
  <si>
    <t>ОС7220</t>
  </si>
  <si>
    <t>Красотка (1,1"х16)</t>
  </si>
  <si>
    <t>ОС7260</t>
  </si>
  <si>
    <t>Счастье есть! (1,1"х19)</t>
  </si>
  <si>
    <t>ОС8222</t>
  </si>
  <si>
    <t>На часах ноль-ноль (1,1"х19)</t>
  </si>
  <si>
    <t>ОС8320</t>
  </si>
  <si>
    <t>Красиво - и точка (1,1"х25)</t>
  </si>
  <si>
    <t>ОС8880</t>
  </si>
  <si>
    <t>Анталия (1,1"х100)</t>
  </si>
  <si>
    <t>Бенгальские свечи</t>
  </si>
  <si>
    <t>РС1788</t>
  </si>
  <si>
    <t>Звёздный дождь</t>
  </si>
  <si>
    <t>ТР151</t>
  </si>
  <si>
    <t>Свеча бенгальская 400 прямоугольная</t>
  </si>
  <si>
    <t>ТР154</t>
  </si>
  <si>
    <t>Свеча бенгальская 600 прямоугольная</t>
  </si>
  <si>
    <t>ТР155</t>
  </si>
  <si>
    <t>Свеча бенгальская 170 (тонкая)</t>
  </si>
  <si>
    <t>ТР158</t>
  </si>
  <si>
    <t>Свеча бенгальская 170 Спектр (толстая разноцветная)</t>
  </si>
  <si>
    <t>ТР160</t>
  </si>
  <si>
    <t>Свеча бенгальская 210 Спектр (толстая разноцветная)</t>
  </si>
  <si>
    <t>ТР161</t>
  </si>
  <si>
    <t>Свеча бенгальская "Звездочка" (фигурная)</t>
  </si>
  <si>
    <t>ТР162</t>
  </si>
  <si>
    <t>Свеча бенгальская "Сердечко" (фигурная)</t>
  </si>
  <si>
    <t>ТР163</t>
  </si>
  <si>
    <t>Свеча бенгальская "Елочка" (фигурная)</t>
  </si>
  <si>
    <t>ТР165</t>
  </si>
  <si>
    <t>Свеча бенгальская 160</t>
  </si>
  <si>
    <t>ТР170</t>
  </si>
  <si>
    <t>Свеча бенгальская цветопламенная 160</t>
  </si>
  <si>
    <t>0784D</t>
  </si>
  <si>
    <t>CHRISTMAS TREE SPARKLER, 2 шт</t>
  </si>
  <si>
    <t>0784E</t>
  </si>
  <si>
    <t>HEART SPARKLER, 2 шт</t>
  </si>
  <si>
    <t>0784S</t>
  </si>
  <si>
    <t>Бенгальские огни Аллея звезд 0784S</t>
  </si>
  <si>
    <t>Хлопушки</t>
  </si>
  <si>
    <t>ТР106</t>
  </si>
  <si>
    <t>Супер</t>
  </si>
  <si>
    <t>ТР108</t>
  </si>
  <si>
    <t>Супер с серпантином</t>
  </si>
  <si>
    <t>ТР109</t>
  </si>
  <si>
    <t>Маска с сюрпризом</t>
  </si>
  <si>
    <t>ТР110</t>
  </si>
  <si>
    <t>Листопад</t>
  </si>
  <si>
    <t>ТР112уц4</t>
  </si>
  <si>
    <t>Весёлая тусовка</t>
  </si>
  <si>
    <t>ТР114</t>
  </si>
  <si>
    <t>Супер Гранд</t>
  </si>
  <si>
    <t>ТР115</t>
  </si>
  <si>
    <t>Макси Гигант</t>
  </si>
  <si>
    <t>Пневмохлопушки</t>
  </si>
  <si>
    <t>АС0100</t>
  </si>
  <si>
    <t>ПРОСТО ПРАЗДНИК! (8 м)</t>
  </si>
  <si>
    <t>CM001</t>
  </si>
  <si>
    <t>Пневмохлопушка Рубиновая любовь / Rubylove CM001</t>
  </si>
  <si>
    <t>CM002</t>
  </si>
  <si>
    <t>Пневмохлопушка Агатовое сердце / Agate heart CM002</t>
  </si>
  <si>
    <t>CM004</t>
  </si>
  <si>
    <t>Пневмохлопушка Фиеста цвета / Fiesta of Color CM004</t>
  </si>
  <si>
    <t>CM005</t>
  </si>
  <si>
    <t>Хлопушка 30 см (100/1)</t>
  </si>
  <si>
    <t>CM006</t>
  </si>
  <si>
    <t>CM007</t>
  </si>
  <si>
    <t>Пневмохлопушка Бабочки / Butterflies CM007</t>
  </si>
  <si>
    <t>CM008</t>
  </si>
  <si>
    <t>CM009</t>
  </si>
  <si>
    <t>Пневмохопушка Серебристо-золотой / Silvergold Konfetti CM009</t>
  </si>
  <si>
    <t>CM010</t>
  </si>
  <si>
    <t>Пневмохлопушка Конфетти / Redblue Konfetti CM010</t>
  </si>
  <si>
    <t>CM012</t>
  </si>
  <si>
    <t>Пневмохлопушка Грани фантазии / Facets of Fantasy CM012</t>
  </si>
  <si>
    <t>Цветные дымы и Факелы</t>
  </si>
  <si>
    <t>РС3480/Фуц1</t>
  </si>
  <si>
    <t>Цветной дым 25, фиолетовый (60 сек)</t>
  </si>
  <si>
    <t>РС3485/Буц3</t>
  </si>
  <si>
    <t>Цветной дым 30, белый (60 сек)</t>
  </si>
  <si>
    <t>РС3485/Жуц3</t>
  </si>
  <si>
    <t>Цветной дым 30, жёлтый (60 сек)</t>
  </si>
  <si>
    <t>РС3485/Жуц4</t>
  </si>
  <si>
    <t>РС3485/Зуц3</t>
  </si>
  <si>
    <t>Цветной дым 30, зелёный (60 сек)</t>
  </si>
  <si>
    <t>РС3485/Куц3</t>
  </si>
  <si>
    <t>Цветной дым 30, красный (60 сек)</t>
  </si>
  <si>
    <t>РС3485/Оуц3</t>
  </si>
  <si>
    <t>Цветной дым 30, оранжевый (60 сек)</t>
  </si>
  <si>
    <t>РС3485/Оуц4</t>
  </si>
  <si>
    <t>РС3485/Суц3</t>
  </si>
  <si>
    <t>Цветной дым 30, синий (60 сек)</t>
  </si>
  <si>
    <t>РС3485/Фуц3</t>
  </si>
  <si>
    <t>Цветной дым 30, фиолетовый (60 сек)</t>
  </si>
  <si>
    <t>РС3485/Фуц4</t>
  </si>
  <si>
    <t>РС3490/Буц3</t>
  </si>
  <si>
    <t>Цветной дым 35, белый (60 сек)</t>
  </si>
  <si>
    <t>РС3490/Жуц3</t>
  </si>
  <si>
    <t>Цветной дым 35, жёлтый (60 сек)</t>
  </si>
  <si>
    <t>РС3490/Зуц3</t>
  </si>
  <si>
    <t>Цветной дым 35, зелёный (60 сек)</t>
  </si>
  <si>
    <t>РС3490/Куц3</t>
  </si>
  <si>
    <t>Цветной дым 35, красный (60 сек)</t>
  </si>
  <si>
    <t>РС3490/Оуц1</t>
  </si>
  <si>
    <t>Цветной дым 35, оранжевый (60 сек)</t>
  </si>
  <si>
    <t>РС3490/Суц1</t>
  </si>
  <si>
    <t>Цветной дым 35, синий (60 сек)</t>
  </si>
  <si>
    <t>РС3490/Фуц3</t>
  </si>
  <si>
    <t>Цветной дым 35, фиолетовый (60 сек)</t>
  </si>
  <si>
    <t>РС3495/Жуц1</t>
  </si>
  <si>
    <t>Цветной дым 40, желтый (40 сек)</t>
  </si>
  <si>
    <t>РС3495/Зуц1</t>
  </si>
  <si>
    <t>Цветной дым 40, зеленый (40 сек)</t>
  </si>
  <si>
    <t>РС3495/Оуц1</t>
  </si>
  <si>
    <t>Цветной дым 40, оранжевый (40 сек)</t>
  </si>
  <si>
    <t>РС3495/Суц1</t>
  </si>
  <si>
    <t>Цветной дым 40, синий (40 сек)</t>
  </si>
  <si>
    <t>РС3495/Фуц3</t>
  </si>
  <si>
    <t>Цветной дым 40, фиолетовый (40 сек)</t>
  </si>
  <si>
    <t>HF-01</t>
  </si>
  <si>
    <t>Hand Flame (Ручной Фонтан)</t>
  </si>
  <si>
    <t>MA0509 Black</t>
  </si>
  <si>
    <t>Дым чёрный / Smoking Fountain (30 сек)</t>
  </si>
  <si>
    <t>MA0509 Blackуц3</t>
  </si>
  <si>
    <t>MA0509 Blueуц3</t>
  </si>
  <si>
    <t>Дым голубой / Smoking Fountain (30 сек)</t>
  </si>
  <si>
    <t>MA0509 Bordoуц3</t>
  </si>
  <si>
    <t>Дым бордовый / Smoking Fountain (30 сек)</t>
  </si>
  <si>
    <t>MA0509 Greenуц3</t>
  </si>
  <si>
    <t>Дым зеленый / Smoking Fountain (30 сек)</t>
  </si>
  <si>
    <t>MA0509 mix</t>
  </si>
  <si>
    <t>Дым mix 5 цветов / Smoking fountain (30 сек)</t>
  </si>
  <si>
    <t>MA0509 Orangeуц3</t>
  </si>
  <si>
    <t>Дым оранжевый / Smoking Fountain (30 сек)</t>
  </si>
  <si>
    <t>MA0509 Purpleуц3</t>
  </si>
  <si>
    <t>Дым фиолетовый / Smoking Fountain (30 сек)</t>
  </si>
  <si>
    <t>MA0509 Redуц3</t>
  </si>
  <si>
    <t>Дым красный / Smoking Fountain (30 сек)</t>
  </si>
  <si>
    <t>MA0509 Tiffanyуц1</t>
  </si>
  <si>
    <t>Дым тиффани / Smoking Fountain (30 сек)</t>
  </si>
  <si>
    <t>MA0509 Whiteуц3</t>
  </si>
  <si>
    <t>Дым белый / Smoking Fountain (30 сек)</t>
  </si>
  <si>
    <t>MA0509 Yellowуц3</t>
  </si>
  <si>
    <t>Дым желтый / Smoking Fountain (30 сек)</t>
  </si>
  <si>
    <t>MA0510 Blueуц3</t>
  </si>
  <si>
    <t>Дым синий / Smoking pot (60 сек)</t>
  </si>
  <si>
    <t>MA0510 Greenуц3</t>
  </si>
  <si>
    <t>Дым зелёный / Smoking pot (60 сек)</t>
  </si>
  <si>
    <t>MA0510 Orangeуц3</t>
  </si>
  <si>
    <t>Дым оранжевый / Smoking pot (60 сек)</t>
  </si>
  <si>
    <t>MA0510 Yellowуц3</t>
  </si>
  <si>
    <t>Дым желтый / Smoking pot (60 сек)</t>
  </si>
  <si>
    <t>MA0511 Blue</t>
  </si>
  <si>
    <t>Дым синий/ Smoking Fountain (60 сек)</t>
  </si>
  <si>
    <t>MA0511 Blue sky</t>
  </si>
  <si>
    <t>Дым небесно-голубой/ Smoking Fountain (60 сек)</t>
  </si>
  <si>
    <t>MA0511 Green</t>
  </si>
  <si>
    <t>Дым зелёный / Smoking Fountain (60 сек)</t>
  </si>
  <si>
    <t>MA0511 Greenуц3</t>
  </si>
  <si>
    <t>MA0511 Marsalaуц3</t>
  </si>
  <si>
    <t>Дым винный/ Smoking Fountain (60 сек)</t>
  </si>
  <si>
    <t>MA0511 mix2</t>
  </si>
  <si>
    <t>SMOKING FOUNTAIN</t>
  </si>
  <si>
    <t>MA0511 Orangeуц1</t>
  </si>
  <si>
    <t>Дым оранжевый / Smoking Fountain (60 сек)</t>
  </si>
  <si>
    <t>MA0511 Orangeуц3</t>
  </si>
  <si>
    <t>MA0511 Purple</t>
  </si>
  <si>
    <t>Дым фиолетовый / Smoking Fountain (60 сек)</t>
  </si>
  <si>
    <t>MA0511 Red</t>
  </si>
  <si>
    <t>Дым красный / Smoking Fountain (60 сек)</t>
  </si>
  <si>
    <t>MA0511 White</t>
  </si>
  <si>
    <t>Дым белый/ Smoking Fountain (60 сек)</t>
  </si>
  <si>
    <t>MA0511 Whiteуц3</t>
  </si>
  <si>
    <t>MA0511 Yellow</t>
  </si>
  <si>
    <t>Дым жёлтый / Smoking Fountain (60 сек)</t>
  </si>
  <si>
    <t>MA0512 Blackуц3</t>
  </si>
  <si>
    <t>Дым чёрный / Smoking Fountain (60 сек)</t>
  </si>
  <si>
    <t>MA0512 Blue Skyуц3</t>
  </si>
  <si>
    <t>Дым небесно-голубой / Smoking Fountain (60 сек)</t>
  </si>
  <si>
    <t>MA0512 Bordoуц1</t>
  </si>
  <si>
    <t>Дым Бордовый/ Smoking Fountain (60 сек)</t>
  </si>
  <si>
    <t>MA0512 Greenуц3</t>
  </si>
  <si>
    <t>MA0512 mixуц3</t>
  </si>
  <si>
    <t>Дым mix 5 цветов / Smoking fountain (60 сек)</t>
  </si>
  <si>
    <t>MA0512 Orange</t>
  </si>
  <si>
    <t>MA0512 Orangeуц3</t>
  </si>
  <si>
    <t>MA0512 Purpleуц3</t>
  </si>
  <si>
    <t>MA0512 Redуц3</t>
  </si>
  <si>
    <t>MA0512 Tiffanyуц3</t>
  </si>
  <si>
    <t>Дым Тиффани / Smoking Fountain (60 сек)</t>
  </si>
  <si>
    <t>MA0512 Whiteуц3</t>
  </si>
  <si>
    <t>Дым белый / Smoking Fountain (60 сек)</t>
  </si>
  <si>
    <t>MA0512 Yellowуц3</t>
  </si>
  <si>
    <t>MA0513 Bordoуц1</t>
  </si>
  <si>
    <t>Дым бордовый / Smoking Fountain (60 сек)</t>
  </si>
  <si>
    <t>MA0513 Marsalaуц1</t>
  </si>
  <si>
    <t>Дым красно-коричневый / Smoking Fountain (60 сек)</t>
  </si>
  <si>
    <t>MA0513 Orange уц3</t>
  </si>
  <si>
    <t>Дым оранжевый / Smoking fountain (60 сек)</t>
  </si>
  <si>
    <t>MA0513 Purple уц3</t>
  </si>
  <si>
    <t>MA0513 Tiffanyуц1</t>
  </si>
  <si>
    <t>Дым тиффани/ Smoking Fountain (60 сек)</t>
  </si>
  <si>
    <t>MA0514 Greenуц3</t>
  </si>
  <si>
    <t>Дым зеленый двухсторонний / Mega Smoking (60 сек)</t>
  </si>
  <si>
    <t>MA0514 Orangeуц3</t>
  </si>
  <si>
    <t>Дым оранжевый двухсторонний / Mega Smoking (60 сек)</t>
  </si>
  <si>
    <t>MA0514 Yellowуц3</t>
  </si>
  <si>
    <t>Дым желтый двухсторонний / Mega Smoking (60 сек)</t>
  </si>
  <si>
    <t>MF-0260 Blue</t>
  </si>
  <si>
    <t>Фальшфейер Hand Flare (25см, синий)</t>
  </si>
  <si>
    <t>Товары для праздника</t>
  </si>
  <si>
    <t>РС0040уц3</t>
  </si>
  <si>
    <t>Серпантин для ручного кидания "Невеста"</t>
  </si>
  <si>
    <t>9/30</t>
  </si>
  <si>
    <t>РС0070уц3</t>
  </si>
  <si>
    <t>Конфетти металлизированный для ручного кидания "Победа"</t>
  </si>
  <si>
    <t>Цветные дымы</t>
  </si>
  <si>
    <t>MA0509 Aqua</t>
  </si>
  <si>
    <t>MA0509 Maroon</t>
  </si>
  <si>
    <t>Цветной дым Maroon Dance</t>
  </si>
  <si>
    <t>MA0509 mix2</t>
  </si>
  <si>
    <t>MA0511 Crimson</t>
  </si>
  <si>
    <t>Дым/Crimson-малиновый (40/5)</t>
  </si>
  <si>
    <t>MA0511 mix</t>
  </si>
  <si>
    <t>Набор цветных дымов Pop Mix</t>
  </si>
  <si>
    <t>MA0512 Aqua</t>
  </si>
  <si>
    <t>MA0512 Crimson</t>
  </si>
  <si>
    <t>Дым/Crimson-малиновый (20/5)</t>
  </si>
  <si>
    <t>MA0512 Maroon</t>
  </si>
  <si>
    <t>Цветной дым Бордовый соул / Maroon Soul</t>
  </si>
  <si>
    <t>MA0512 Marsalaуц3</t>
  </si>
  <si>
    <t>MA0512 Marsala</t>
  </si>
  <si>
    <t>Имитационная пиротехника</t>
  </si>
  <si>
    <t>ТР620уц3</t>
  </si>
  <si>
    <t>Шашка дымовая белая ДШР-2</t>
  </si>
  <si>
    <t>Гирлянды</t>
  </si>
  <si>
    <t>Чан Х</t>
  </si>
  <si>
    <t>ГБ3-Руц3</t>
  </si>
  <si>
    <t>Гирлянда Бахрома 3 м (Разноцветная)</t>
  </si>
  <si>
    <t>ГВ3х2-Суц3</t>
  </si>
  <si>
    <t>Гирлянда Водопад 3*2 м 480 LED (Синяя)</t>
  </si>
  <si>
    <t>ГЗел3-Буц3</t>
  </si>
  <si>
    <t>Гирлянда декоративная Зелень 3 м (Белая)</t>
  </si>
  <si>
    <t>ГЗС-ТСуц3</t>
  </si>
  <si>
    <t>Гирлянда "Звезды" светодиодные 8 шт (Теплый свет)</t>
  </si>
  <si>
    <t>ГЛ3-РЦуц3</t>
  </si>
  <si>
    <t>Гирлянда Люстра 3 м (Разноцветная)</t>
  </si>
  <si>
    <t>ГМД3-ТСуц3</t>
  </si>
  <si>
    <t>Гирлянда Метеоритный дождь 3 м (Теплый свет)</t>
  </si>
  <si>
    <t>ГН11ЧПКД-Буц3</t>
  </si>
  <si>
    <t>Гирлянда Нить 11 м черный провод круглые диоды (арт. H-200L) (Белая)</t>
  </si>
  <si>
    <t>ГН15ЧП-Туц3</t>
  </si>
  <si>
    <t>Гирлянда нить 15 м черный провод (Теплый свет)</t>
  </si>
  <si>
    <t>ГН17ЧПКД-Суц3</t>
  </si>
  <si>
    <t>Гирлянда Нить 17 м черный провод круглые диоды (арт. H-300L) (Синяя)</t>
  </si>
  <si>
    <t>ГН20ЧП-Буц3</t>
  </si>
  <si>
    <t>Гирлянда нить 20 м черный провод (Белая)</t>
  </si>
  <si>
    <t>ГН20ЧП-Суц3</t>
  </si>
  <si>
    <t>Гирлянда нить 20 м черный провод (Синяя)</t>
  </si>
  <si>
    <t>ГН30ЧП-Туц3</t>
  </si>
  <si>
    <t>Гирлянда нить 30 м черный провод (Теплый свет)</t>
  </si>
  <si>
    <t>ГНАЕ2уц3</t>
  </si>
  <si>
    <t>Гирлянда нить "Ажурные елочки" 2 м (Теплый свет)</t>
  </si>
  <si>
    <t>ГНД10-Буц3</t>
  </si>
  <si>
    <t>Гирлянда Нить со встроенными SMD диодами 10 м (Белая)</t>
  </si>
  <si>
    <t>ГНД10-РЦуц3</t>
  </si>
  <si>
    <t>Гирлянда Нить со встроенными SMD диодами 10 м (Разноцветная)</t>
  </si>
  <si>
    <t>ГНД10-ТСуц3</t>
  </si>
  <si>
    <t>Гирлянда Нить со встроенными SMD диодами 10 м (Теплый свет)</t>
  </si>
  <si>
    <t>ГНУ30-Зуц3</t>
  </si>
  <si>
    <t>Гирлянда Нить уличная 30 м (арт. WM-300L) (зеленая)</t>
  </si>
  <si>
    <t>ГНУ30-Руц3</t>
  </si>
  <si>
    <t>Гирлянда Нить уличная 30 м (арт. WM-300L) (Розовая)</t>
  </si>
  <si>
    <t>ГНУШм10-Буц3</t>
  </si>
  <si>
    <t>Гирлянда нить уличная Шарики матовая 10 м (Белая)</t>
  </si>
  <si>
    <t>ГШ3х3П-Суц3</t>
  </si>
  <si>
    <t>Гирлянда Штора 3,0*3,0 м с пультом (Синяя)</t>
  </si>
  <si>
    <t>ГШД3х2-Буц3</t>
  </si>
  <si>
    <t>Гирлянда Штора со встроенными SMD диодами 3,0*2,0 м (Белая)</t>
  </si>
  <si>
    <t>ГШД3х2-Суц3</t>
  </si>
  <si>
    <t>Гирлянда Штора со встроенными SMD диодами 3,0*2,0 м (Синяя)</t>
  </si>
  <si>
    <t>ГШД3х2-Туц3</t>
  </si>
  <si>
    <t>Гирлянда Штора со встроенными SMD диодами 3,0*2,0 м (Теплый свет)</t>
  </si>
  <si>
    <t>ГШм5-Зелуц3</t>
  </si>
  <si>
    <t>Гирлянда Шарики матовые 5 м (Зеленая)</t>
  </si>
  <si>
    <t>ГШм5-Круц3</t>
  </si>
  <si>
    <t>Гирлянда Шарики матовые 5 м (Красная)</t>
  </si>
  <si>
    <t>ГШм5-Розуц3</t>
  </si>
  <si>
    <t>Гирлянда Шарики матовые 5 м (Розовая)</t>
  </si>
  <si>
    <t>ГШм5-Туц3</t>
  </si>
  <si>
    <t>Гирлянда Шарики матовые 5 м (Теплый свет)</t>
  </si>
  <si>
    <t>ГШН38-Суц3</t>
  </si>
  <si>
    <t>Гирлянда светодиодная Шары с новогодним наполнением 3м 8 шаров (Синяя)</t>
  </si>
  <si>
    <t>ГШН38-Туц3</t>
  </si>
  <si>
    <t>Гирлянда светодиодная Шары с новогодним наполнением 3м 8 шаров (Теплый свет)</t>
  </si>
  <si>
    <t>ГШУ3х2-Суц3</t>
  </si>
  <si>
    <t>Гирлянда уличная «Штора» 2000 LED,3х2м(синяя)</t>
  </si>
  <si>
    <t>ГШУ3х2-ТСуц3</t>
  </si>
  <si>
    <t>Гирлянда уличная «Штора» 2000 LED,3х2м(тепл свет)</t>
  </si>
  <si>
    <t>ГШУ3х3-ТСуц3</t>
  </si>
  <si>
    <t>Гирлянда уличная «Штора» 2500 LED,3х3м(тепл свет)</t>
  </si>
  <si>
    <t>ГШШ3х2-Буц3</t>
  </si>
  <si>
    <t>Гирлянда Штора "Шарики" 3,0*2,0 м (Белая)</t>
  </si>
  <si>
    <t>ЗВ4Куц3</t>
  </si>
  <si>
    <t>Гирлянда Звезды 4 м 12 звезд Красная</t>
  </si>
  <si>
    <t>ЗВ4Суц3</t>
  </si>
  <si>
    <t>Гирлянда Звезды 4 м 12 звезд Синяя</t>
  </si>
  <si>
    <t>Н12300Руц3</t>
  </si>
  <si>
    <t>Гирлянда Нить светодиод.12м (300L) Разноцветная</t>
  </si>
  <si>
    <t>Н17Руц3</t>
  </si>
  <si>
    <t>Гирлянда Нить светодиодная 17 м (Разноцветная)</t>
  </si>
  <si>
    <t>Н7Буц3</t>
  </si>
  <si>
    <t>Светодиодная гирлянда 100 LED, 7м(белая)</t>
  </si>
  <si>
    <t>Н7Туц3</t>
  </si>
  <si>
    <t>Светодиодная гирлянда 100 LED, 7м (теплый свет)</t>
  </si>
  <si>
    <t>НУК50Суц3</t>
  </si>
  <si>
    <t>Гирлянда нить уличная на катушке 50 м (Синяя)</t>
  </si>
  <si>
    <t>ПЛДСуц3</t>
  </si>
  <si>
    <t>Проектор лазерный домашний (синий)</t>
  </si>
  <si>
    <t>Ш1515Суц3</t>
  </si>
  <si>
    <t>Светодиодная гирлянда-штора 1,5х1,5м(синяя)</t>
  </si>
  <si>
    <t>Ш1818Руц3</t>
  </si>
  <si>
    <t>Светодиодная гирлянда-штора 1,8х1,8м(разноцвет)</t>
  </si>
  <si>
    <t>Vegas</t>
  </si>
  <si>
    <t>Электрогирлянда "Нить" 48 синих LED, 5м</t>
  </si>
  <si>
    <t>55060уц3</t>
  </si>
  <si>
    <t>Электрогирлянда "Нить" 50 холодных LED ламп</t>
  </si>
  <si>
    <t>55069уц3</t>
  </si>
  <si>
    <t>Электрогирлянда "Нить" 200 холодных LED ламп</t>
  </si>
  <si>
    <t>55075уц3</t>
  </si>
  <si>
    <t>Электрогирлянда "Сеть" 176 холодных LED ламп</t>
  </si>
  <si>
    <t>55084уц3</t>
  </si>
  <si>
    <t>Электрогирлянда "Цветочки" 80 разноцветных LED ламп</t>
  </si>
  <si>
    <t>Электрогирлянда "Звезды" 35 теплых LED ламп</t>
  </si>
  <si>
    <t>55102уц3</t>
  </si>
  <si>
    <t>Фигура "Снеговик" акриловая</t>
  </si>
  <si>
    <t>Краски Холи оптом</t>
  </si>
  <si>
    <t>Holi Like</t>
  </si>
  <si>
    <t>720-024</t>
  </si>
  <si>
    <t>Краски "Холи Лайк" Алая (100 гр.)</t>
  </si>
  <si>
    <t>720-027</t>
  </si>
  <si>
    <t>Краски "Арт-фест" Алая (100 гр.)</t>
  </si>
  <si>
    <t>720-029</t>
  </si>
  <si>
    <t>Краски "Арт-фест" Бирюзовая (100 гр.)</t>
  </si>
  <si>
    <t>720-030</t>
  </si>
  <si>
    <t>Краски "Арт-фест" Желтая (100 гр.)</t>
  </si>
  <si>
    <t>720-031</t>
  </si>
  <si>
    <t>Краски "Арт-фест" Малиновая (100 гр.)</t>
  </si>
  <si>
    <t>720-032</t>
  </si>
  <si>
    <t>Краски "Арт-фест" Оранжевая (100 гр.)</t>
  </si>
  <si>
    <t>720-034</t>
  </si>
  <si>
    <t>Краски "Арт-фест" Синяя (100 гр.)</t>
  </si>
  <si>
    <t>720-035</t>
  </si>
  <si>
    <t>Краски "Арт-фест" Фиолетовая (100 гр.)</t>
  </si>
  <si>
    <t>720-05</t>
  </si>
  <si>
    <t>Краска Холи 100 гр, зелёный(цвет морской волны)</t>
  </si>
  <si>
    <t>720-07</t>
  </si>
  <si>
    <t>Краска Холи 100 гр, синий</t>
  </si>
  <si>
    <t>720-08</t>
  </si>
  <si>
    <t>Краска Холи 100 гр, фиолетовый</t>
  </si>
  <si>
    <t>720-09</t>
  </si>
  <si>
    <t>Краска Холи 100 гр, белый</t>
  </si>
  <si>
    <t>720-09уц3</t>
  </si>
  <si>
    <t>720-52</t>
  </si>
  <si>
    <t>Огнетушитель с краской холи, 5кг (желтый)</t>
  </si>
  <si>
    <t>720-53</t>
  </si>
  <si>
    <t>Огнетушитель с краской холи, 5кг (малиновый)</t>
  </si>
  <si>
    <t>720-54</t>
  </si>
  <si>
    <t>Огнетушитель с краской холи, 5кг (оранжевый)</t>
  </si>
  <si>
    <t>720-55</t>
  </si>
  <si>
    <t>Огнетушитель с краской холи, 5кг (салатовый)</t>
  </si>
  <si>
    <t>720-56</t>
  </si>
  <si>
    <t>Огнетушитель с краской холи, 5кг (синий)</t>
  </si>
  <si>
    <t>720-57уц3</t>
  </si>
  <si>
    <t>Огнетушитель с краской холи, 5кг (фиолетовый)</t>
  </si>
  <si>
    <t>720-72</t>
  </si>
  <si>
    <t>Огнетушитель 2 л синий черное ЗПУ</t>
  </si>
  <si>
    <t>720-73</t>
  </si>
  <si>
    <t>Огнетушитель 2 л малиновый черное ЗПУ</t>
  </si>
  <si>
    <t>Party-colors</t>
  </si>
  <si>
    <t>UC0001</t>
  </si>
  <si>
    <t>Party Colors 100 гр, желтый</t>
  </si>
  <si>
    <t>UC0003</t>
  </si>
  <si>
    <t>Party Colors 100 гр, красный</t>
  </si>
  <si>
    <t>UC0005</t>
  </si>
  <si>
    <t>Party Colors 100 гр, синий</t>
  </si>
  <si>
    <t>UC0006</t>
  </si>
  <si>
    <t>Party Colors 100 гр, зелёный</t>
  </si>
  <si>
    <t>UC0007</t>
  </si>
  <si>
    <t>Party Colors 100 гр, морская волна</t>
  </si>
  <si>
    <t>Акционные товары</t>
  </si>
  <si>
    <t>Р1752уц5</t>
  </si>
  <si>
    <t>Факел дымовой с чекой (белый)</t>
  </si>
  <si>
    <t>MA0510 Greenуц5</t>
  </si>
  <si>
    <t>MA0513/Wуц5</t>
  </si>
  <si>
    <t>Украшения на ёлку</t>
  </si>
  <si>
    <t>Grat-West</t>
  </si>
  <si>
    <t>Е40160уц3</t>
  </si>
  <si>
    <t>Мишура 6 цветов 2.7 м</t>
  </si>
  <si>
    <t>Е40354уц3</t>
  </si>
  <si>
    <t>Мишура с 2-мя шарамина концах</t>
  </si>
  <si>
    <t>Е50140уц3</t>
  </si>
  <si>
    <t>Мишура гологр.со звездами 2.7 м</t>
  </si>
  <si>
    <t>Е50143уц3</t>
  </si>
  <si>
    <t>Мишура,витой шнур с кистями</t>
  </si>
  <si>
    <t>Е50147уц3</t>
  </si>
  <si>
    <t>Мишура,витой шнур с 2-мя шарами на концах</t>
  </si>
  <si>
    <t>Е50150уц3</t>
  </si>
  <si>
    <t>Мишура спираль/колючка 2 м</t>
  </si>
  <si>
    <t>Е50153уц3</t>
  </si>
  <si>
    <t>Мишура рельефная 2.7 м</t>
  </si>
  <si>
    <t>Е50155уц3</t>
  </si>
  <si>
    <t>Мишура перламутр-белая 2.7 м</t>
  </si>
  <si>
    <t>Е50157уц3</t>
  </si>
  <si>
    <t>Мишура с листьями и шарами блест. 2 м</t>
  </si>
  <si>
    <t>Е70444уц3</t>
  </si>
  <si>
    <t>Мишура 2 цвета 2.7 м</t>
  </si>
  <si>
    <t>Е92016уц3</t>
  </si>
  <si>
    <t>Мишура с сердцами 2.7 м</t>
  </si>
  <si>
    <t>Е92017уц3</t>
  </si>
  <si>
    <t>Мишура синяя 2.7 м</t>
  </si>
  <si>
    <t>Е92018уц3</t>
  </si>
  <si>
    <t>Мишура со звездами 2 м</t>
  </si>
  <si>
    <t>Е96528уц3</t>
  </si>
  <si>
    <t>Мишура цвета в асс. 2.7 м</t>
  </si>
  <si>
    <t>Е96710уц3</t>
  </si>
  <si>
    <t>Мишура красная 2.7 м</t>
  </si>
  <si>
    <t>Е96748уц3</t>
  </si>
  <si>
    <t>Ёлочн.венок,41см (крас)</t>
  </si>
  <si>
    <t>ЕК0352уц3</t>
  </si>
  <si>
    <t>Мишура золотая 2.7 м</t>
  </si>
  <si>
    <t>ЕК0353уц3</t>
  </si>
  <si>
    <t>ЕК0376уц3</t>
  </si>
  <si>
    <t>Шарики 6шт,6см,блест-золотые</t>
  </si>
  <si>
    <t>ЕК0401уц3</t>
  </si>
  <si>
    <t>Шарики 6шт,8см,матово-синие</t>
  </si>
  <si>
    <t>ЕК0403уц3</t>
  </si>
  <si>
    <t>Шарики 6шт,8см,матово-золотые</t>
  </si>
  <si>
    <t>Товары для пикника и дачи</t>
  </si>
  <si>
    <t>"Огонёк"</t>
  </si>
  <si>
    <t>OK925уц3</t>
  </si>
  <si>
    <t>Шампур угловой 610х10х1,0 (нерж)</t>
  </si>
  <si>
    <t>BoyScout</t>
  </si>
  <si>
    <t>61132уц3</t>
  </si>
  <si>
    <t>Стакан складной пластиковый, 200 мл</t>
  </si>
  <si>
    <t>61140уц3</t>
  </si>
  <si>
    <t>Роллы для розжига мангалов, барбекю, каминов и печей 5 шт. в уп.</t>
  </si>
  <si>
    <t>61146уц3</t>
  </si>
  <si>
    <t>Брикеты для розжига 1 пл. х 32 шт</t>
  </si>
  <si>
    <t>61198уц3</t>
  </si>
  <si>
    <t>Щепа для копчения "Вишня", 1л</t>
  </si>
  <si>
    <t>61232уц3</t>
  </si>
  <si>
    <t>Мангал 500х300х500 мм, сборный без шампуров в картонной коробке</t>
  </si>
  <si>
    <t>61234уц3</t>
  </si>
  <si>
    <t>Мангал каркасный "Таганок" 420х40х250 мм сборный + 6 шампуров, в чехле</t>
  </si>
  <si>
    <t>61235уц3</t>
  </si>
  <si>
    <t>Мангал 350х250х350 мм, сборный + 6 шампуров (нерж.), в термопленке</t>
  </si>
  <si>
    <t>61277уц3</t>
  </si>
  <si>
    <t>Коптильня одноразовая 20х15 см, 3 шт. в наборе ( в компл. ольховая щепа)</t>
  </si>
  <si>
    <t>61326уц3</t>
  </si>
  <si>
    <t>Набор плоских шампуров 45 см 6 штук в блистере</t>
  </si>
  <si>
    <t>61327уц3</t>
  </si>
  <si>
    <t>Набор плоских шампуров 45 см 6 штук в чехле</t>
  </si>
  <si>
    <t>61328уц3</t>
  </si>
  <si>
    <t>Набор плоских шампуров 60 см 6 штук в блистере</t>
  </si>
  <si>
    <t>61372уц3</t>
  </si>
  <si>
    <t>Шампуры для люля-кебаб, овощей 450х20х2 мм из НЕРЖАВЕЮЩЕЙ СТАЛИ, 2 шт. в упаковке</t>
  </si>
  <si>
    <t>61390уц3</t>
  </si>
  <si>
    <t>Мангал "Компакт" 340х360х180 мм, складной</t>
  </si>
  <si>
    <t>61456уц3</t>
  </si>
  <si>
    <t>Летающая тарелка Ø 23 см</t>
  </si>
  <si>
    <t>61483уц3</t>
  </si>
  <si>
    <t>Воздушный змей 130х62 см, шнур 30 метров (3 вида в коробке: Лев, Тигр, Орел)</t>
  </si>
  <si>
    <t>61538уц3</t>
  </si>
  <si>
    <t>Мангал 500х300х850 мм, ВЫСОКИЙ, сборный, в картонной коробке</t>
  </si>
  <si>
    <t>Help</t>
  </si>
  <si>
    <t>80007уц3</t>
  </si>
  <si>
    <t>Сетка-полог на детскую коляску или люльку, 140х90 см</t>
  </si>
  <si>
    <t>Hot Pot</t>
  </si>
  <si>
    <t>61428уц3</t>
  </si>
  <si>
    <t>Набор плоских шампуров 45 см 6 штук в упаковке</t>
  </si>
  <si>
    <t>♂Гендерная вечеринка♀</t>
  </si>
  <si>
    <t>РС3600-Д</t>
  </si>
  <si>
    <t>Дневной фонтан "Ждём дочку"</t>
  </si>
  <si>
    <t>РС3600-М</t>
  </si>
  <si>
    <t>Дневной фонтан "Ждём сыночка"</t>
  </si>
  <si>
    <t>РС4085-Д</t>
  </si>
  <si>
    <t>Мальчик или Девочка</t>
  </si>
  <si>
    <t>РС4085-М</t>
  </si>
  <si>
    <t>CM015/B</t>
  </si>
  <si>
    <t>Пневмохлопушка Бэби-бум (Мальчик)</t>
  </si>
  <si>
    <t>CM015/G</t>
  </si>
  <si>
    <t>Пневмохлопушка Бэби-бум (Девочка)</t>
  </si>
  <si>
    <t>720-138</t>
  </si>
  <si>
    <t>Огнетушитель с краской холи, 2 л малиновый золото</t>
  </si>
  <si>
    <t>720-139</t>
  </si>
  <si>
    <t>Огнетушитель с краской холи, 2 л синий золото</t>
  </si>
  <si>
    <t xml:space="preserve">Joker Fireworks </t>
  </si>
  <si>
    <t>JFDM60G-Bуц3</t>
  </si>
  <si>
    <t>Дымы "Узнай Кто?"(Мальчик)</t>
  </si>
  <si>
    <t>JFDM60SHG-Bуц3</t>
  </si>
  <si>
    <t>Дымовая шашка "Узнай Кто?"(Мальчик)</t>
  </si>
  <si>
    <t>Товары для маркетплейсов</t>
  </si>
  <si>
    <t>Jieyang Ruitao</t>
  </si>
  <si>
    <t>БЧС-601/Буц3</t>
  </si>
  <si>
    <t>Блюдо четырехугольное из пшеничной соломы (белое)</t>
  </si>
  <si>
    <t>БЧС-601/Зуц3</t>
  </si>
  <si>
    <t>Блюдо четырехугольное из пшеничной соломы (зелёное)</t>
  </si>
  <si>
    <t>БЧС-601/Руц3</t>
  </si>
  <si>
    <t>Блюдо четырехугольное из пшеничной соломы (розовое)</t>
  </si>
  <si>
    <t>БЧС-601/Суц3</t>
  </si>
  <si>
    <t>Блюдо четырехугольное из пшеничной соломы (синее)</t>
  </si>
  <si>
    <t>ЛКП-401/Буц3</t>
  </si>
  <si>
    <t>Ложка Капля (белая)</t>
  </si>
  <si>
    <t>ЛКП-401/Зуц3</t>
  </si>
  <si>
    <t>Ложка Капля (зелёная)</t>
  </si>
  <si>
    <t>ЛКП-401/Руц3</t>
  </si>
  <si>
    <t>Ложка Капля (розовая)</t>
  </si>
  <si>
    <t>ЛКП-401/Суц3</t>
  </si>
  <si>
    <t>Ложка Капля (синяя)</t>
  </si>
  <si>
    <t>ЛСН-162уц3</t>
  </si>
  <si>
    <t>Ложка-Лопата совковая из нержавеющей стали</t>
  </si>
  <si>
    <t>ЛСП-001/Буц3</t>
  </si>
  <si>
    <t>Ложка суповая (белая)</t>
  </si>
  <si>
    <t>ЛСП-001/Зуц3</t>
  </si>
  <si>
    <t>Ложка суповая (зеленая)</t>
  </si>
  <si>
    <t>ЛСП-001/Руц3</t>
  </si>
  <si>
    <t>Ложка суповая (розовая)</t>
  </si>
  <si>
    <t>ЛСП-001/Суц3</t>
  </si>
  <si>
    <t>Ложка суповая (синяя)</t>
  </si>
  <si>
    <t>ЛШН-161уц3</t>
  </si>
  <si>
    <t>Ложка-Лопата штыковая из нержавеющей стали</t>
  </si>
  <si>
    <t>МСС-111/Буц3</t>
  </si>
  <si>
    <t>Миска для супа из пшеничной соломы (Белая)</t>
  </si>
  <si>
    <t>МСС-111/Зуц3</t>
  </si>
  <si>
    <t>Миска для супа из пшеничной соломы (Зеленая)</t>
  </si>
  <si>
    <t>МСС-111/Руц3</t>
  </si>
  <si>
    <t>Миска для супа из пшеничной соломы (Розовая)</t>
  </si>
  <si>
    <t>МСС-111/Суц3</t>
  </si>
  <si>
    <t>Миска для супа из пшеничной соломы (Синяя)</t>
  </si>
  <si>
    <t>МСС-131/Буц3</t>
  </si>
  <si>
    <t>МСС-131/Зуц3</t>
  </si>
  <si>
    <t>МСС-131/Руц3</t>
  </si>
  <si>
    <t>МСС-131/Суц3</t>
  </si>
  <si>
    <t>МСС-141/Буц3</t>
  </si>
  <si>
    <t>МСС-141/Зуц3</t>
  </si>
  <si>
    <t>МСС-141/Руц3</t>
  </si>
  <si>
    <t>МСС-141/Суц3</t>
  </si>
  <si>
    <t>НПП-151/Зуц3</t>
  </si>
  <si>
    <t>Набор столовых приборов в контейнере (Зелёный)</t>
  </si>
  <si>
    <t>НПП-151/Руц3</t>
  </si>
  <si>
    <t>Набор столовых приборов в контейнере (Розовый)</t>
  </si>
  <si>
    <t>НПП-151/Суц3</t>
  </si>
  <si>
    <t>Набор столовых приборов в контейнере (Синий)</t>
  </si>
  <si>
    <t>НПП-181/Буц3</t>
  </si>
  <si>
    <t>Набор столовых приборов складной (белый)</t>
  </si>
  <si>
    <t>НПП-181/Зуц3</t>
  </si>
  <si>
    <t>Набор столовых приборов складной (зелёный)</t>
  </si>
  <si>
    <t>НПП-181/Руц3</t>
  </si>
  <si>
    <t>Набор столовых приборов складной (розовый)</t>
  </si>
  <si>
    <t>НПП-181/Суц3</t>
  </si>
  <si>
    <t>Набор столовых приборов складной (синий)</t>
  </si>
  <si>
    <t>СДП-301/Буц3</t>
  </si>
  <si>
    <t>Соусница двойная (белая)</t>
  </si>
  <si>
    <t>СДП-301/Зуц3</t>
  </si>
  <si>
    <t>Соусница двойная (зелёная)</t>
  </si>
  <si>
    <t>СДП-301/Руц3</t>
  </si>
  <si>
    <t>Соусница двойная (розовая)</t>
  </si>
  <si>
    <t>СДП-301/Суц3</t>
  </si>
  <si>
    <t>Соусница двойная (синяя)</t>
  </si>
  <si>
    <t>СКП-901/Буц3</t>
  </si>
  <si>
    <t>Соусница круглая (белая)</t>
  </si>
  <si>
    <t>СКП-901/Зуц3</t>
  </si>
  <si>
    <t>Соусница круглая (зелёная)</t>
  </si>
  <si>
    <t>СКП-901/Руц3</t>
  </si>
  <si>
    <t>Соусница круглая (розовая)</t>
  </si>
  <si>
    <t>СКП-901/Суц3</t>
  </si>
  <si>
    <t>Соусница круглая (синяя)</t>
  </si>
  <si>
    <t>ССП-701/Буц3</t>
  </si>
  <si>
    <t>Соусница в виде сердца (белая)</t>
  </si>
  <si>
    <t>ССП-701/Зуц3</t>
  </si>
  <si>
    <t>Соусница в виде сердца (зелёная)</t>
  </si>
  <si>
    <t>ССП-701/Руц3</t>
  </si>
  <si>
    <t>Соусница в виде сердца (розовая)</t>
  </si>
  <si>
    <t>ССП-701/Суц3</t>
  </si>
  <si>
    <t>Соусница в виде сердца (синяя)</t>
  </si>
  <si>
    <t>СЯП-201/Буц3</t>
  </si>
  <si>
    <t>Соусница в японском стиле (белая)</t>
  </si>
  <si>
    <t>СЯП-201/Зуц3</t>
  </si>
  <si>
    <t>Соусница в японском стиле (зелёная)</t>
  </si>
  <si>
    <t>СЯП-201/Руц3</t>
  </si>
  <si>
    <t>Соусница в японском стиле (розовая)</t>
  </si>
  <si>
    <t>СЯП-201/Суц3</t>
  </si>
  <si>
    <t>Соусница в японском стиле (синяя)</t>
  </si>
  <si>
    <t>ТПП-801/Буц3</t>
  </si>
  <si>
    <t>Тарелка прямоугольная с соусницей (белая)</t>
  </si>
  <si>
    <t>ТПП-801/Жуц3</t>
  </si>
  <si>
    <t>Тарелка прямоугольная с соусницей (желтая)</t>
  </si>
  <si>
    <t>ТПП-801/Зуц3</t>
  </si>
  <si>
    <t>Тарелка прямоугольная с соусницей (зелёная)</t>
  </si>
  <si>
    <t>ТПП-801/Куц3</t>
  </si>
  <si>
    <t>Тарелка прямоугольная с соусницей (красная)</t>
  </si>
  <si>
    <t>ТФП-171/Буц3</t>
  </si>
  <si>
    <t>Тарелка фигурная с соусницей (Белая)</t>
  </si>
  <si>
    <t>ТФП-171/Жуц3</t>
  </si>
  <si>
    <t>Тарелка фигурная с соусницей (желтая)</t>
  </si>
  <si>
    <t>ТФП-171/Зуц3</t>
  </si>
  <si>
    <t>Тарелка фигурная с соусницей (зелёная)</t>
  </si>
  <si>
    <t>ТФП-171/Куц3</t>
  </si>
  <si>
    <t>Тарелка фигурная с соусницей (красная)</t>
  </si>
  <si>
    <t>ТФП-501/Буц3</t>
  </si>
  <si>
    <t>Тарелка фруктовая (белая)</t>
  </si>
  <si>
    <t>ТФП-501/Зуц3</t>
  </si>
  <si>
    <t>Тарелка фруктовая (зелёная)</t>
  </si>
  <si>
    <t>ТФП-501/Руц3</t>
  </si>
  <si>
    <t>Тарелка фруктовая (розовая)</t>
  </si>
  <si>
    <t>ТФП-501/Суц3</t>
  </si>
  <si>
    <t>Тарелка фруктовая (синяя)</t>
  </si>
  <si>
    <t>ТШС-101/Буц3</t>
  </si>
  <si>
    <t>Тарелка шестиугольная из пшеничной соломы (белая)</t>
  </si>
  <si>
    <t>ТШС-101/Зуц3</t>
  </si>
  <si>
    <t>Тарелка шестиугольная из пшеничной соломы (зеленая)</t>
  </si>
  <si>
    <t>ТШС-101/Руц3</t>
  </si>
  <si>
    <t>Тарелка шестиугольная из пшеничной соломы (розовая)</t>
  </si>
  <si>
    <t>ТШС-101/Суц3</t>
  </si>
  <si>
    <t>Тарелка шестиугольная из пшеничной соломы (синяя)</t>
  </si>
  <si>
    <t>ЧПС-121/Буц3</t>
  </si>
  <si>
    <t>Стакан пластиковый (белый)</t>
  </si>
  <si>
    <t>ЧПС-121/Зуц3</t>
  </si>
  <si>
    <t>Стакан пластиковый (зелёный)</t>
  </si>
  <si>
    <t>ЧПС-121/Руц3</t>
  </si>
  <si>
    <t>Стакан пластиковый (розовый)</t>
  </si>
  <si>
    <t>ЧПС-121/Суц3</t>
  </si>
  <si>
    <t>Стакан пластиковый (синий)</t>
  </si>
  <si>
    <t>Все</t>
  </si>
  <si>
    <t>q</t>
  </si>
  <si>
    <t>z</t>
  </si>
  <si>
    <t>w</t>
  </si>
  <si>
    <t>x</t>
  </si>
  <si>
    <t>e</t>
  </si>
  <si>
    <t>c</t>
  </si>
  <si>
    <t>r</t>
  </si>
  <si>
    <t>v</t>
  </si>
  <si>
    <t>t</t>
  </si>
  <si>
    <t>b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</si>
</sst>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0"/>
      <color rgb="FF000000"/>
      <name val="Arial Cyr"/>
    </font>
    <font>
      <b val="0"/>
      <i val="0"/>
      <strike val="0"/>
      <u val="none"/>
      <sz val="8"/>
      <color rgb="FF000000"/>
      <name val="Arial Cyr"/>
    </font>
    <font>
      <b val="0"/>
      <i val="0"/>
      <strike val="0"/>
      <u val="none"/>
      <sz val="14"/>
      <color rgb="FF000000"/>
      <name val="Arial Cyr"/>
    </font>
    <font>
      <b val="0"/>
      <i val="0"/>
      <strike val="0"/>
      <u val="none"/>
      <sz val="12"/>
      <color rgb="FF000000"/>
      <name val="Arial Cyr"/>
    </font>
    <font>
      <b val="0"/>
      <i val="0"/>
      <strike val="0"/>
      <u val="none"/>
      <sz val="20"/>
      <color rgb="FF000000"/>
      <name val="Arial Cyr"/>
    </font>
    <font>
      <b val="0"/>
      <i val="0"/>
      <strike val="0"/>
      <u val="single"/>
      <sz val="10"/>
      <color rgb="FF0563C1"/>
      <name val="Arial Cyr"/>
    </font>
    <font>
      <b val="0"/>
      <i val="0"/>
      <strike val="0"/>
      <u val="none"/>
      <sz val="11"/>
      <color rgb="FF000000"/>
      <name val="Arial Cyr"/>
    </font>
    <font>
      <b val="1"/>
      <i val="0"/>
      <strike val="0"/>
      <u val="none"/>
      <sz val="8"/>
      <color rgb="FF000000"/>
      <name val="Arial Cyr"/>
    </font>
    <font>
      <b val="0"/>
      <i val="0"/>
      <strike val="0"/>
      <u val="none"/>
      <sz val="24"/>
      <color rgb="FF000000"/>
      <name val="Arial Cyr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5DEB5"/>
        <bgColor rgb="FFFFFFFF"/>
      </patternFill>
    </fill>
    <fill>
      <patternFill patternType="solid">
        <fgColor rgb="FFFFD965"/>
        <bgColor rgb="FFFFFFFF"/>
      </patternFill>
    </fill>
  </fills>
  <borders count="10">
    <border/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5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true"/>
    </xf>
    <xf xfId="0" fontId="1" numFmtId="0" fillId="2" borderId="0" applyFont="1" applyNumberFormat="0" applyFill="0" applyBorder="0" applyAlignment="1" applyProtection="true">
      <alignment horizontal="left" vertical="bottom" textRotation="0" wrapText="false" shrinkToFit="false"/>
      <protection hidden="tru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1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3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 applyProtection="true">
      <alignment horizontal="general" vertical="bottom" textRotation="0" wrapText="false" shrinkToFit="false"/>
      <protection hidden="tru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tru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tru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hidden="true"/>
    </xf>
    <xf xfId="0" fontId="1" numFmtId="0" fillId="3" borderId="4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1" numFmtId="0" fillId="3" borderId="0" applyFont="1" applyNumberFormat="0" applyFill="1" applyBorder="0" applyAlignment="1" applyProtection="true">
      <alignment horizontal="left" vertical="bottom" textRotation="0" wrapText="false" shrinkToFit="false"/>
      <protection hidden="true"/>
    </xf>
    <xf xfId="0" fontId="1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1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1" numFmtId="0" fillId="3" borderId="5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3" numFmtId="0" fillId="3" borderId="5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1" numFmtId="0" fillId="3" borderId="4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1" numFmtId="0" fillId="3" borderId="5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4" numFmtId="0" fillId="3" borderId="0" applyFont="1" applyNumberFormat="0" applyFill="1" applyBorder="0" applyAlignment="1" applyProtection="true">
      <alignment horizontal="general" vertical="center" textRotation="0" wrapText="true" shrinkToFit="false"/>
      <protection hidden="true"/>
    </xf>
    <xf xfId="0" fontId="0" numFmtId="49" fillId="3" borderId="0" applyFont="0" applyNumberFormat="1" applyFill="1" applyBorder="0" applyAlignment="0" applyProtection="true">
      <alignment horizontal="general" vertical="bottom" textRotation="0" wrapText="false" shrinkToFit="false"/>
      <protection hidden="true"/>
    </xf>
    <xf xfId="0" fontId="0" numFmtId="0" fillId="3" borderId="1" applyFont="0" applyNumberFormat="0" applyFill="1" applyBorder="1" applyAlignment="1" applyProtection="true">
      <alignment horizontal="left" vertical="bottom" textRotation="0" wrapText="false" shrinkToFit="false"/>
      <protection hidden="true"/>
    </xf>
    <xf xfId="0" fontId="5" numFmtId="0" fillId="2" borderId="6" applyFont="1" applyNumberFormat="0" applyFill="0" applyBorder="1" applyAlignment="0">
      <alignment horizontal="general" vertical="bottom" textRotation="0" wrapText="false" shrinkToFit="false"/>
    </xf>
    <xf xfId="0" fontId="6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1" numFmtId="0" fillId="3" borderId="0" applyFont="1" applyNumberFormat="0" applyFill="1" applyBorder="0" applyAlignment="1" applyProtection="true">
      <alignment horizontal="center" vertical="center" textRotation="0" wrapText="true" shrinkToFit="false"/>
      <protection hidden="true"/>
    </xf>
    <xf xfId="0" fontId="1" numFmtId="4" fillId="3" borderId="0" applyFont="1" applyNumberFormat="1" applyFill="1" applyBorder="0" applyAlignment="0" applyProtection="true">
      <alignment horizontal="general" vertical="bottom" textRotation="0" wrapText="false" shrinkToFit="false"/>
      <protection hidden="true"/>
    </xf>
    <xf xfId="0" fontId="5" numFmtId="0" fillId="3" borderId="0" applyFont="1" applyNumberFormat="0" applyFill="1" applyBorder="0" applyAlignment="0" applyProtection="true">
      <alignment horizontal="general" vertical="bottom" textRotation="0" wrapText="false" shrinkToFit="false"/>
      <protection hidden="true"/>
    </xf>
    <xf xfId="0" fontId="5" numFmtId="0" fillId="3" borderId="5" applyFont="1" applyNumberFormat="0" applyFill="1" applyBorder="1" applyAlignment="0" applyProtection="true">
      <alignment horizontal="general" vertical="bottom" textRotation="0" wrapText="false" shrinkToFit="false"/>
      <protection hidden="true"/>
    </xf>
    <xf xfId="0" fontId="6" numFmtId="0" fillId="4" borderId="0" applyFont="1" applyNumberFormat="0" applyFill="1" applyBorder="0" applyAlignment="1">
      <alignment horizontal="right" vertical="center" textRotation="0" wrapText="false" shrinkToFit="false"/>
    </xf>
    <xf xfId="0" fontId="1" numFmtId="0" fillId="3" borderId="0" applyFont="1" applyNumberFormat="0" applyFill="1" applyBorder="0" applyAlignment="1" applyProtection="true">
      <alignment horizontal="general" vertical="bottom" textRotation="0" wrapText="true" shrinkToFit="false"/>
      <protection hidden="true"/>
    </xf>
    <xf xfId="0" fontId="6" numFmtId="0" fillId="4" borderId="0" applyFont="1" applyNumberFormat="0" applyFill="1" applyBorder="0" applyAlignment="1" applyProtection="true">
      <alignment horizontal="right" vertical="center" textRotation="0" wrapText="false" shrinkToFit="false"/>
      <protection hidden="true"/>
    </xf>
    <xf xfId="0" fontId="6" numFmtId="0" fillId="4" borderId="0" applyFont="1" applyNumberFormat="0" applyFill="1" applyBorder="0" applyAlignment="1" applyProtection="true">
      <alignment horizontal="general" vertical="center" textRotation="0" wrapText="false" shrinkToFit="false"/>
      <protection hidden="true"/>
    </xf>
    <xf xfId="0" fontId="6" numFmtId="0" fillId="4" borderId="0" applyFont="1" applyNumberFormat="0" applyFill="1" applyBorder="0" applyAlignment="1" applyProtection="true">
      <alignment horizontal="center" vertical="center" textRotation="0" wrapText="false" shrinkToFit="false"/>
      <protection hidden="true"/>
    </xf>
    <xf xfId="0" fontId="5" numFmtId="0" fillId="4" borderId="0" applyFont="1" applyNumberFormat="0" applyFill="1" applyBorder="0" applyAlignment="1" applyProtection="true">
      <alignment horizontal="left" vertical="center" textRotation="0" wrapText="false" shrinkToFit="false"/>
      <protection hidden="true"/>
    </xf>
    <xf xfId="0" fontId="5" numFmtId="0" fillId="4" borderId="0" applyFont="1" applyNumberFormat="0" applyFill="1" applyBorder="0" applyAlignment="1" applyProtection="true">
      <alignment horizontal="general" vertical="center" textRotation="0" wrapText="false" shrinkToFit="false"/>
      <protection hidden="true"/>
    </xf>
    <xf xfId="0" fontId="0" numFmtId="0" fillId="4" borderId="0" applyFont="0" applyNumberFormat="0" applyFill="1" applyBorder="0" applyAlignment="1" applyProtection="true">
      <alignment horizontal="general" vertical="center" textRotation="0" wrapText="false" shrinkToFit="false"/>
      <protection hidden="true"/>
    </xf>
    <xf xfId="0" fontId="1" numFmtId="0" fillId="4" borderId="7" applyFont="1" applyNumberFormat="0" applyFill="1" applyBorder="1" applyAlignment="1" applyProtection="true">
      <alignment horizontal="center" vertical="center" textRotation="0" wrapText="true" shrinkToFit="false"/>
      <protection hidden="true"/>
    </xf>
    <xf xfId="0" fontId="1" numFmtId="0" fillId="4" borderId="8" applyFont="1" applyNumberFormat="0" applyFill="1" applyBorder="1" applyAlignment="1" applyProtection="true">
      <alignment horizontal="center" vertical="center" textRotation="0" wrapText="true" shrinkToFit="false"/>
      <protection hidden="true"/>
    </xf>
    <xf xfId="0" fontId="1" numFmtId="0" fillId="5" borderId="8" applyFont="1" applyNumberFormat="0" applyFill="1" applyBorder="1" applyAlignment="1" applyProtection="true">
      <alignment horizontal="center" vertical="center" textRotation="0" wrapText="true" shrinkToFit="false"/>
      <protection hidden="true"/>
    </xf>
    <xf xfId="0" fontId="1" numFmtId="0" fillId="4" borderId="9" applyFont="1" applyNumberFormat="0" applyFill="1" applyBorder="1" applyAlignment="1" applyProtection="true">
      <alignment horizontal="center" vertical="bottom" textRotation="0" wrapText="true" shrinkToFit="false"/>
      <protection hidden="true"/>
    </xf>
    <xf xfId="0" fontId="1" numFmtId="0" fillId="2" borderId="6" applyFont="1" applyNumberFormat="0" applyFill="0" applyBorder="1" applyAlignment="1" applyProtection="true">
      <alignment horizontal="right" vertical="bottom" textRotation="0" wrapText="false" shrinkToFit="false"/>
      <protection hidden="true"/>
    </xf>
    <xf xfId="0" fontId="1" numFmtId="0" fillId="2" borderId="6" applyFont="1" applyNumberFormat="0" applyFill="0" applyBorder="1" applyAlignment="1" applyProtection="true">
      <alignment horizontal="left" vertical="bottom" textRotation="0" wrapText="false" shrinkToFit="false"/>
      <protection hidden="true"/>
    </xf>
    <xf xfId="0" fontId="1" numFmtId="0" fillId="2" borderId="6" applyFont="1" applyNumberFormat="0" applyFill="0" applyBorder="1" applyAlignment="0" applyProtection="true">
      <alignment horizontal="general" vertical="bottom" textRotation="0" wrapText="false" shrinkToFit="false"/>
      <protection hidden="true"/>
    </xf>
    <xf xfId="0" fontId="1" numFmtId="49" fillId="2" borderId="6" applyFont="1" applyNumberFormat="1" applyFill="0" applyBorder="1" applyAlignment="0" applyProtection="true">
      <alignment horizontal="general" vertical="bottom" textRotation="0" wrapText="false" shrinkToFit="false"/>
      <protection hidden="true"/>
    </xf>
    <xf xfId="0" fontId="7" numFmtId="4" fillId="2" borderId="6" applyFont="1" applyNumberFormat="1" applyFill="0" applyBorder="1" applyAlignment="1" applyProtection="true">
      <alignment horizontal="right" vertical="bottom" textRotation="0" wrapText="false" shrinkToFit="false"/>
      <protection hidden="true"/>
    </xf>
    <xf xfId="0" fontId="1" numFmtId="4" fillId="2" borderId="6" applyFont="1" applyNumberFormat="1" applyFill="0" applyBorder="1" applyAlignment="1" applyProtection="true">
      <alignment horizontal="right" vertical="bottom" textRotation="0" wrapText="false" shrinkToFit="false"/>
      <protection hidden="true"/>
    </xf>
    <xf xfId="0" fontId="1" numFmtId="0" fillId="4" borderId="5" applyFont="1" applyNumberFormat="0" applyFill="1" applyBorder="1" applyAlignment="1" applyProtection="true">
      <alignment horizontal="general" vertical="center" textRotation="0" wrapText="false" shrinkToFit="false"/>
      <protection hidden="true"/>
    </xf>
    <xf xfId="0" fontId="4" numFmtId="0" fillId="3" borderId="0" applyFont="1" applyNumberFormat="0" applyFill="1" applyBorder="0" applyAlignment="1" applyProtection="true">
      <alignment horizontal="center" vertical="center" textRotation="0" wrapText="true" shrinkToFit="false"/>
      <protection hidden="true"/>
    </xf>
    <xf xfId="0" fontId="4" numFmtId="0" fillId="3" borderId="2" applyFont="1" applyNumberFormat="0" applyFill="1" applyBorder="1" applyAlignment="1" applyProtection="true">
      <alignment horizontal="center" vertical="center" textRotation="0" wrapText="true" shrinkToFit="false"/>
      <protection hidden="tru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hidden="true"/>
    </xf>
    <xf xfId="0" fontId="8" numFmtId="0" fillId="4" borderId="0" applyFont="1" applyNumberFormat="0" applyFill="1" applyBorder="0" applyAlignment="1" applyProtection="true">
      <alignment horizontal="center" vertical="bottom" textRotation="0" wrapText="false" shrinkToFit="false"/>
      <protection hidden="true"/>
    </xf>
    <xf xfId="0" fontId="1" numFmtId="3" fillId="2" borderId="6" applyFont="1" applyNumberFormat="1" applyFill="0" applyBorder="1" applyAlignment="1" applyProtection="true">
      <alignment horizontal="right" vertical="bottom" textRotation="0" wrapText="false" shrinkToFit="false"/>
      <protection hidden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image22.png"/><Relationship Id="rId3" Type="http://schemas.openxmlformats.org/officeDocument/2006/relationships/image" Target="../media/image23.png"/><Relationship Id="rId4" Type="http://schemas.openxmlformats.org/officeDocument/2006/relationships/image" Target="../media/image24.png"/><Relationship Id="rId5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4</xdr:row>
      <xdr:rowOff>28575</xdr:rowOff>
    </xdr:from>
    <xdr:ext cx="1485900" cy="742950"/>
    <xdr:pic>
      <xdr:nvPicPr>
        <xdr:cNvPr id="1" name="Рисунок 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10</xdr:row>
      <xdr:rowOff>0</xdr:rowOff>
    </xdr:from>
    <xdr:ext cx="200025" cy="171450"/>
    <xdr:pic>
      <xdr:nvPicPr>
        <xdr:cNvPr id="2" name="Рисунок 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10</xdr:row>
      <xdr:rowOff>152400</xdr:rowOff>
    </xdr:from>
    <xdr:ext cx="200025" cy="171450"/>
    <xdr:pic>
      <xdr:nvPicPr>
        <xdr:cNvPr id="3" name="Рисунок 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11</xdr:row>
      <xdr:rowOff>142875</xdr:rowOff>
    </xdr:from>
    <xdr:ext cx="200025" cy="171450"/>
    <xdr:pic>
      <xdr:nvPicPr>
        <xdr:cNvPr id="4" name="Рисунок 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12</xdr:row>
      <xdr:rowOff>142875</xdr:rowOff>
    </xdr:from>
    <xdr:ext cx="200025" cy="171450"/>
    <xdr:pic>
      <xdr:nvPicPr>
        <xdr:cNvPr id="5" name="Рисунок 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pirotehnika-optom@mail.ru" TargetMode="External"/><Relationship Id="rId_hyperlink_2" Type="http://schemas.openxmlformats.org/officeDocument/2006/relationships/hyperlink" Target="http://pirotehnika-optom.ru/" TargetMode="External"/><Relationship Id="rId_hyperlink_3" Type="http://schemas.openxmlformats.org/officeDocument/2006/relationships/hyperlink" Target="http://pirotehnika-optom.ru/" TargetMode="External"/><Relationship Id="rId_hyperlink_4" Type="http://schemas.openxmlformats.org/officeDocument/2006/relationships/hyperlink" Target="http://pirotehnika-optom.ru/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17"/>
  <sheetViews>
    <sheetView tabSelected="1" workbookViewId="0" showGridLines="true" showRowColHeaders="1">
      <pane ySplit="3" topLeftCell="A4" activePane="bottomLeft" state="frozen"/>
      <selection pane="bottomLeft" activeCell="A4" sqref="A4"/>
    </sheetView>
  </sheetViews>
  <sheetFormatPr customHeight="true" defaultRowHeight="11.25" outlineLevelRow="0" outlineLevelCol="0"/>
  <cols>
    <col min="1" max="1" width="5.42578125" customWidth="true" style="1"/>
    <col min="2" max="2" width="15.5703125" customWidth="true" style="2"/>
    <col min="3" max="3" width="10.140625" customWidth="true" style="1"/>
    <col min="4" max="4" width="12" customWidth="true" style="1"/>
    <col min="5" max="5" width="41.42578125" customWidth="true" style="1"/>
    <col min="6" max="6" width="6" customWidth="true" style="1"/>
    <col min="7" max="7" width="7.140625" customWidth="true" style="1"/>
    <col min="8" max="8" width="7.140625" customWidth="true" style="1"/>
    <col min="9" max="9" width="9.42578125" customWidth="true" style="1"/>
    <col min="10" max="10" width="7.7109375" customWidth="true" style="1"/>
    <col min="11" max="11" width="8.7109375" customWidth="true" style="1"/>
  </cols>
  <sheetData>
    <row r="1" spans="1:12" customHeight="1" ht="30" s="1" customForma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customHeight="1" ht="18" s="1" customFormat="1">
      <c r="A2" s="33" t="s">
        <v>1</v>
      </c>
      <c r="B2" s="34" t="s">
        <v>2</v>
      </c>
      <c r="C2" s="35"/>
      <c r="D2" s="31" t="s">
        <v>3</v>
      </c>
      <c r="E2" s="36" t="s">
        <v>4</v>
      </c>
      <c r="F2" s="37"/>
      <c r="G2" s="38"/>
      <c r="H2" s="38"/>
      <c r="I2" s="49" t="s">
        <v>5</v>
      </c>
      <c r="J2" s="49"/>
      <c r="K2" s="49"/>
      <c r="L2" s="49"/>
    </row>
    <row r="3" spans="1:12" customHeight="1" ht="23.25" s="1" customFormat="1">
      <c r="A3" s="39" t="s">
        <v>6</v>
      </c>
      <c r="B3" s="40" t="s">
        <v>7</v>
      </c>
      <c r="C3" s="40" t="s">
        <v>8</v>
      </c>
      <c r="D3" s="40" t="s">
        <v>9</v>
      </c>
      <c r="E3" s="40" t="s">
        <v>10</v>
      </c>
      <c r="F3" s="40" t="s">
        <v>11</v>
      </c>
      <c r="G3" s="40" t="s">
        <v>12</v>
      </c>
      <c r="H3" s="40" t="s">
        <v>13</v>
      </c>
      <c r="I3" s="40" t="s">
        <v>14</v>
      </c>
      <c r="J3" s="40" t="s">
        <v>15</v>
      </c>
      <c r="K3" s="41" t="s">
        <v>16</v>
      </c>
      <c r="L3" s="42" t="s">
        <v>17</v>
      </c>
    </row>
    <row r="4" spans="1:12" customHeight="1" ht="12.75" s="1" customFormat="1">
      <c r="A4" s="4"/>
      <c r="B4" s="5"/>
      <c r="C4" s="50" t="s">
        <v>18</v>
      </c>
      <c r="D4" s="50"/>
      <c r="E4" s="51"/>
      <c r="F4" s="24" t="s">
        <v>19</v>
      </c>
      <c r="G4" s="9"/>
      <c r="H4" s="10"/>
      <c r="I4" s="15"/>
      <c r="J4" s="15"/>
      <c r="K4" s="15"/>
      <c r="L4" s="17"/>
    </row>
    <row r="5" spans="1:12" customHeight="1" ht="12.75" s="1" customFormat="1">
      <c r="A5" s="6"/>
      <c r="B5" s="5"/>
      <c r="C5" s="50"/>
      <c r="D5" s="50"/>
      <c r="E5" s="51"/>
      <c r="F5" s="8" t="s">
        <v>20</v>
      </c>
      <c r="G5" s="9" t="s">
        <v>21</v>
      </c>
      <c r="H5" s="10"/>
      <c r="I5" s="16"/>
      <c r="J5" s="15"/>
      <c r="K5" s="16"/>
      <c r="L5" s="17"/>
    </row>
    <row r="6" spans="1:12" customHeight="1" ht="12.75" s="1" customFormat="1">
      <c r="A6" s="6"/>
      <c r="B6" s="5"/>
      <c r="C6" s="50"/>
      <c r="D6" s="50"/>
      <c r="E6" s="51"/>
      <c r="F6" s="8" t="s">
        <v>22</v>
      </c>
      <c r="G6" s="9" t="s">
        <v>23</v>
      </c>
      <c r="H6" s="10"/>
      <c r="I6" s="16"/>
      <c r="J6" s="15"/>
      <c r="K6" s="15"/>
      <c r="L6" s="17"/>
    </row>
    <row r="7" spans="1:12" customHeight="1" ht="12.75" s="1" customFormat="1">
      <c r="A7" s="4"/>
      <c r="B7" s="5"/>
      <c r="C7" s="50"/>
      <c r="D7" s="50"/>
      <c r="E7" s="51"/>
      <c r="F7" s="8" t="s">
        <v>24</v>
      </c>
      <c r="G7" s="23" t="s">
        <v>25</v>
      </c>
      <c r="H7" s="10"/>
      <c r="I7" s="16"/>
      <c r="J7" s="52"/>
      <c r="K7" s="52"/>
      <c r="L7" s="17"/>
    </row>
    <row r="8" spans="1:12" customHeight="1" ht="12.75" s="1" customFormat="1">
      <c r="A8" s="4"/>
      <c r="B8" s="5"/>
      <c r="C8" s="50"/>
      <c r="D8" s="50"/>
      <c r="E8" s="51"/>
      <c r="F8" s="8" t="s">
        <v>26</v>
      </c>
      <c r="G8" s="29" t="s">
        <v>27</v>
      </c>
      <c r="H8" s="11"/>
      <c r="I8" s="16"/>
      <c r="J8" s="15"/>
      <c r="K8" s="16"/>
      <c r="L8" s="17"/>
    </row>
    <row r="9" spans="1:12" customHeight="1" ht="12.75" s="1" customFormat="1">
      <c r="A9" s="6"/>
      <c r="B9" s="5"/>
      <c r="C9" s="50"/>
      <c r="D9" s="50"/>
      <c r="E9" s="51"/>
      <c r="F9" s="12" t="s">
        <v>3</v>
      </c>
      <c r="G9" s="30" t="s">
        <v>4</v>
      </c>
      <c r="H9" s="13"/>
      <c r="I9" s="21"/>
      <c r="J9" s="18"/>
      <c r="K9" s="19"/>
      <c r="L9" s="20"/>
    </row>
    <row r="10" spans="1:12" customHeight="1" ht="12.75" s="1" customFormat="1">
      <c r="A10" s="6"/>
      <c r="B10" s="5"/>
      <c r="C10" s="22"/>
      <c r="D10" s="22"/>
      <c r="E10" s="22"/>
      <c r="F10" s="5"/>
      <c r="G10" s="5"/>
      <c r="H10" s="5"/>
      <c r="I10" s="5"/>
      <c r="J10" s="5"/>
      <c r="K10" s="6"/>
      <c r="L10" s="4"/>
    </row>
    <row r="11" spans="1:12" customHeight="1" ht="12.75">
      <c r="A11" s="15"/>
      <c r="B11" s="26" t="s">
        <v>28</v>
      </c>
      <c r="C11" s="5"/>
      <c r="D11" s="5"/>
      <c r="E11" s="5"/>
      <c r="F11" s="5"/>
      <c r="G11" s="5"/>
      <c r="H11" s="5"/>
      <c r="I11" s="5"/>
      <c r="J11" s="5"/>
      <c r="K11" s="4"/>
      <c r="L11" s="7"/>
    </row>
    <row r="12" spans="1:12" customHeight="1" ht="12.75">
      <c r="A12" s="15"/>
      <c r="B12" s="26" t="s">
        <v>29</v>
      </c>
      <c r="C12" s="5"/>
      <c r="D12" s="5"/>
      <c r="E12" s="5"/>
      <c r="F12" s="5"/>
      <c r="G12" s="5"/>
      <c r="H12" s="5"/>
      <c r="I12" s="5"/>
      <c r="J12" s="5"/>
      <c r="K12" s="4"/>
      <c r="L12" s="7"/>
    </row>
    <row r="13" spans="1:12" customHeight="1" ht="12.75">
      <c r="A13" s="32"/>
      <c r="B13" s="26" t="s">
        <v>30</v>
      </c>
      <c r="C13" s="5"/>
      <c r="D13" s="5"/>
      <c r="E13" s="29" t="s">
        <v>4</v>
      </c>
      <c r="F13" s="5"/>
      <c r="G13" s="5"/>
      <c r="H13" s="5"/>
      <c r="I13" s="5"/>
      <c r="J13" s="5"/>
      <c r="K13" s="27"/>
      <c r="L13" s="7"/>
    </row>
    <row r="14" spans="1:12" customHeight="1" ht="12.75" s="1" customFormat="1">
      <c r="A14" s="15"/>
      <c r="B14" s="26" t="s">
        <v>31</v>
      </c>
      <c r="C14" s="5"/>
      <c r="D14" s="5"/>
      <c r="E14" s="5"/>
      <c r="F14" s="5"/>
      <c r="G14" s="5"/>
      <c r="H14" s="5"/>
      <c r="I14" s="5"/>
      <c r="J14" s="5"/>
      <c r="K14" s="4"/>
      <c r="L14" s="4"/>
    </row>
    <row r="15" spans="1:12" customHeight="1" ht="12.75" s="1" customFormat="1">
      <c r="A15" s="4"/>
      <c r="B15" s="14"/>
      <c r="C15" s="4"/>
      <c r="D15" s="4"/>
      <c r="E15" s="4"/>
      <c r="F15" s="4"/>
      <c r="G15" s="4"/>
      <c r="H15" s="4"/>
      <c r="I15" s="28"/>
      <c r="J15" s="4"/>
      <c r="K15" s="4"/>
      <c r="L15" s="4"/>
    </row>
    <row r="16" spans="1:12" customHeight="1" ht="11.25">
      <c r="A16" s="43">
        <v>1</v>
      </c>
      <c r="B16" s="44" t="s">
        <v>32</v>
      </c>
      <c r="C16" s="45" t="s">
        <v>33</v>
      </c>
      <c r="D16" s="43" t="s">
        <v>34</v>
      </c>
      <c r="E16" s="45" t="s">
        <v>35</v>
      </c>
      <c r="F16" s="46" t="s">
        <v>36</v>
      </c>
      <c r="G16" s="46">
        <v>5</v>
      </c>
      <c r="H16" s="46">
        <v>60</v>
      </c>
      <c r="I16" s="47">
        <v>420</v>
      </c>
      <c r="J16" s="48">
        <v>84</v>
      </c>
      <c r="K16" s="54">
        <v>26</v>
      </c>
      <c r="L16" s="25" t="str">
        <f>HYPERLINK("http://pirotehnika-optom.ru/3-petardy-optom/6565-sokol.html","Просмотр")</f>
        <v>0</v>
      </c>
    </row>
    <row r="17" spans="1:12" customHeight="1" ht="11.25">
      <c r="A17" s="43">
        <v>2</v>
      </c>
      <c r="B17" s="44" t="s">
        <v>37</v>
      </c>
      <c r="C17" s="45" t="s">
        <v>37</v>
      </c>
      <c r="D17" s="43" t="s">
        <v>38</v>
      </c>
      <c r="E17" s="45" t="s">
        <v>39</v>
      </c>
      <c r="F17" s="46" t="s">
        <v>36</v>
      </c>
      <c r="G17" s="46">
        <v>3</v>
      </c>
      <c r="H17" s="46">
        <v>48</v>
      </c>
      <c r="I17" s="47">
        <v>900</v>
      </c>
      <c r="J17" s="48">
        <v>300</v>
      </c>
      <c r="K17" s="54">
        <v>26</v>
      </c>
      <c r="L17" s="25" t="str">
        <f>HYPERLINK("http://pirotehnika-optom.ru/3-petardy-optom/6566-yastreb.html","Просмотр")</f>
        <v>0</v>
      </c>
    </row>
    <row r="18" spans="1:12" customHeight="1" ht="11.25">
      <c r="A18" s="43">
        <v>3</v>
      </c>
      <c r="B18" s="44" t="s">
        <v>37</v>
      </c>
      <c r="C18" s="45" t="s">
        <v>37</v>
      </c>
      <c r="D18" s="43" t="s">
        <v>40</v>
      </c>
      <c r="E18" s="45" t="s">
        <v>41</v>
      </c>
      <c r="F18" s="46" t="s">
        <v>36</v>
      </c>
      <c r="G18" s="46">
        <v>3</v>
      </c>
      <c r="H18" s="46">
        <v>28</v>
      </c>
      <c r="I18" s="47">
        <v>810</v>
      </c>
      <c r="J18" s="48">
        <v>270</v>
      </c>
      <c r="K18" s="54">
        <v>8</v>
      </c>
      <c r="L18" s="25" t="str">
        <f>HYPERLINK("http://pirotehnika-optom.ru/3-petardy-optom/6567-korshun.html","Просмотр")</f>
        <v>0</v>
      </c>
    </row>
    <row r="19" spans="1:12" customHeight="1" ht="11.25">
      <c r="A19" s="43">
        <v>4</v>
      </c>
      <c r="B19" s="44" t="s">
        <v>37</v>
      </c>
      <c r="C19" s="45" t="s">
        <v>37</v>
      </c>
      <c r="D19" s="43" t="s">
        <v>42</v>
      </c>
      <c r="E19" s="45" t="s">
        <v>43</v>
      </c>
      <c r="F19" s="46" t="s">
        <v>36</v>
      </c>
      <c r="G19" s="46">
        <v>6</v>
      </c>
      <c r="H19" s="46">
        <v>144</v>
      </c>
      <c r="I19" s="47">
        <v>390.6</v>
      </c>
      <c r="J19" s="48">
        <v>65.09999999999999</v>
      </c>
      <c r="K19" s="54">
        <v>253</v>
      </c>
      <c r="L19" s="25" t="str">
        <f>HYPERLINK("http://pirotehnika-optom.ru/3-petardy-optom/530-pincher.html","Просмотр")</f>
        <v>0</v>
      </c>
    </row>
    <row r="20" spans="1:12" customHeight="1" ht="11.25">
      <c r="A20" s="43">
        <v>5</v>
      </c>
      <c r="B20" s="44" t="s">
        <v>37</v>
      </c>
      <c r="C20" s="45" t="s">
        <v>37</v>
      </c>
      <c r="D20" s="43" t="s">
        <v>44</v>
      </c>
      <c r="E20" s="45" t="s">
        <v>45</v>
      </c>
      <c r="F20" s="46" t="s">
        <v>36</v>
      </c>
      <c r="G20" s="46">
        <v>4</v>
      </c>
      <c r="H20" s="46">
        <v>108</v>
      </c>
      <c r="I20" s="47">
        <v>336</v>
      </c>
      <c r="J20" s="48">
        <v>84</v>
      </c>
      <c r="K20" s="54">
        <v>164</v>
      </c>
      <c r="L20" s="25" t="str">
        <f>HYPERLINK("http://pirotehnika-optom.ru/3-petardy-optom/6259-buldog.html","Просмотр")</f>
        <v>0</v>
      </c>
    </row>
    <row r="21" spans="1:12" customHeight="1" ht="11.25">
      <c r="A21" s="43">
        <v>6</v>
      </c>
      <c r="B21" s="44" t="s">
        <v>37</v>
      </c>
      <c r="C21" s="45" t="s">
        <v>37</v>
      </c>
      <c r="D21" s="43" t="s">
        <v>46</v>
      </c>
      <c r="E21" s="45" t="s">
        <v>47</v>
      </c>
      <c r="F21" s="46" t="s">
        <v>36</v>
      </c>
      <c r="G21" s="46">
        <v>3</v>
      </c>
      <c r="H21" s="46">
        <v>80</v>
      </c>
      <c r="I21" s="47">
        <v>519</v>
      </c>
      <c r="J21" s="48">
        <v>173</v>
      </c>
      <c r="K21" s="54">
        <v>90</v>
      </c>
      <c r="L21" s="25" t="str">
        <f>HYPERLINK("http://pirotehnika-optom.ru/3-petardy-optom/6570-alabaj.html","Просмотр")</f>
        <v>0</v>
      </c>
    </row>
    <row r="22" spans="1:12" customHeight="1" ht="11.25">
      <c r="A22" s="43">
        <v>7</v>
      </c>
      <c r="B22" s="44" t="s">
        <v>37</v>
      </c>
      <c r="C22" s="45" t="s">
        <v>37</v>
      </c>
      <c r="D22" s="43" t="s">
        <v>48</v>
      </c>
      <c r="E22" s="45" t="s">
        <v>49</v>
      </c>
      <c r="F22" s="46" t="s">
        <v>50</v>
      </c>
      <c r="G22" s="46" t="s">
        <v>51</v>
      </c>
      <c r="H22" s="46">
        <v>20</v>
      </c>
      <c r="I22" s="47">
        <v>1398.6</v>
      </c>
      <c r="J22" s="48">
        <v>23.31</v>
      </c>
      <c r="K22" s="54">
        <v>32</v>
      </c>
      <c r="L22" s="25" t="str">
        <f>HYPERLINK("http://pirotehnika-optom.ru/3-petardy-optom/534-korsar-1-20kh12kh60.html","Просмотр")</f>
        <v>0</v>
      </c>
    </row>
    <row r="23" spans="1:12" customHeight="1" ht="11.25">
      <c r="A23" s="43">
        <v>8</v>
      </c>
      <c r="B23" s="44" t="s">
        <v>37</v>
      </c>
      <c r="C23" s="45" t="s">
        <v>37</v>
      </c>
      <c r="D23" s="43" t="s">
        <v>52</v>
      </c>
      <c r="E23" s="45" t="s">
        <v>53</v>
      </c>
      <c r="F23" s="46" t="s">
        <v>50</v>
      </c>
      <c r="G23" s="46" t="s">
        <v>54</v>
      </c>
      <c r="H23" s="46">
        <v>25</v>
      </c>
      <c r="I23" s="47">
        <v>1417.5</v>
      </c>
      <c r="J23" s="48">
        <v>70.88</v>
      </c>
      <c r="K23" s="54">
        <v>157</v>
      </c>
      <c r="L23" s="25" t="str">
        <f>HYPERLINK("http://pirotehnika-optom.ru/3-petardy-optom/535-korsar-2-25kh15kh20.html","Просмотр")</f>
        <v>0</v>
      </c>
    </row>
    <row r="24" spans="1:12" customHeight="1" ht="11.25">
      <c r="A24" s="43">
        <v>9</v>
      </c>
      <c r="B24" s="44" t="s">
        <v>37</v>
      </c>
      <c r="C24" s="45" t="s">
        <v>37</v>
      </c>
      <c r="D24" s="43" t="s">
        <v>55</v>
      </c>
      <c r="E24" s="45" t="s">
        <v>56</v>
      </c>
      <c r="F24" s="46" t="s">
        <v>50</v>
      </c>
      <c r="G24" s="46" t="s">
        <v>57</v>
      </c>
      <c r="H24" s="46">
        <v>50</v>
      </c>
      <c r="I24" s="47">
        <v>703.5</v>
      </c>
      <c r="J24" s="48">
        <v>70.34999999999999</v>
      </c>
      <c r="K24" s="54">
        <v>133</v>
      </c>
      <c r="L24" s="25" t="str">
        <f>HYPERLINK("http://pirotehnika-optom.ru/3-petardy-optom/536-korsar-3-50kh10kh10.html","Просмотр")</f>
        <v>0</v>
      </c>
    </row>
    <row r="25" spans="1:12" customHeight="1" ht="11.25">
      <c r="A25" s="43">
        <v>10</v>
      </c>
      <c r="B25" s="44" t="s">
        <v>37</v>
      </c>
      <c r="C25" s="45" t="s">
        <v>37</v>
      </c>
      <c r="D25" s="43" t="s">
        <v>58</v>
      </c>
      <c r="E25" s="45" t="s">
        <v>59</v>
      </c>
      <c r="F25" s="46" t="s">
        <v>50</v>
      </c>
      <c r="G25" s="46" t="s">
        <v>60</v>
      </c>
      <c r="H25" s="46">
        <v>52</v>
      </c>
      <c r="I25" s="47">
        <v>743.4</v>
      </c>
      <c r="J25" s="48">
        <v>123.9</v>
      </c>
      <c r="K25" s="54">
        <v>82</v>
      </c>
      <c r="L25" s="25" t="str">
        <f>HYPERLINK("http://pirotehnika-optom.ru/3-petardy-optom/4524-bam-bukh.html","Просмотр")</f>
        <v>0</v>
      </c>
    </row>
    <row r="26" spans="1:12" customHeight="1" ht="11.25">
      <c r="A26" s="43">
        <v>11</v>
      </c>
      <c r="B26" s="44" t="s">
        <v>37</v>
      </c>
      <c r="C26" s="45" t="s">
        <v>37</v>
      </c>
      <c r="D26" s="43" t="s">
        <v>61</v>
      </c>
      <c r="E26" s="45" t="s">
        <v>62</v>
      </c>
      <c r="F26" s="46" t="s">
        <v>50</v>
      </c>
      <c r="G26" s="46" t="s">
        <v>63</v>
      </c>
      <c r="H26" s="46">
        <v>16</v>
      </c>
      <c r="I26" s="47">
        <v>2570.4</v>
      </c>
      <c r="J26" s="48">
        <v>214.2</v>
      </c>
      <c r="K26" s="54">
        <v>18</v>
      </c>
      <c r="L26" s="25" t="str">
        <f>HYPERLINK("http://pirotehnika-optom.ru/3-petardy-optom/538-korsar-4-16kh12kh12.html","Просмотр")</f>
        <v>0</v>
      </c>
    </row>
    <row r="27" spans="1:12" customHeight="1" ht="11.25">
      <c r="A27" s="43">
        <v>12</v>
      </c>
      <c r="B27" s="44" t="s">
        <v>37</v>
      </c>
      <c r="C27" s="45" t="s">
        <v>64</v>
      </c>
      <c r="D27" s="43" t="s">
        <v>65</v>
      </c>
      <c r="E27" s="45" t="s">
        <v>66</v>
      </c>
      <c r="F27" s="46" t="s">
        <v>67</v>
      </c>
      <c r="G27" s="46" t="s">
        <v>37</v>
      </c>
      <c r="H27" s="46">
        <v>50</v>
      </c>
      <c r="I27" s="47">
        <v>678</v>
      </c>
      <c r="J27" s="48">
        <v>678</v>
      </c>
      <c r="K27" s="54">
        <v>39</v>
      </c>
      <c r="L27" s="25" t="str">
        <f>HYPERLINK("http://pirotehnika-optom.ru/3-petardy-optom/1928-korsar-3-terochnyj-50-10-10.html","Просмотр")</f>
        <v>0</v>
      </c>
    </row>
    <row r="28" spans="1:12" customHeight="1" ht="11.25">
      <c r="A28" s="43">
        <v>13</v>
      </c>
      <c r="B28" s="44" t="s">
        <v>37</v>
      </c>
      <c r="C28" s="45" t="s">
        <v>37</v>
      </c>
      <c r="D28" s="43" t="s">
        <v>68</v>
      </c>
      <c r="E28" s="45" t="s">
        <v>69</v>
      </c>
      <c r="F28" s="46" t="s">
        <v>36</v>
      </c>
      <c r="G28" s="46">
        <v>12</v>
      </c>
      <c r="H28" s="46">
        <v>120</v>
      </c>
      <c r="I28" s="47">
        <v>327.46</v>
      </c>
      <c r="J28" s="48">
        <v>27.29</v>
      </c>
      <c r="K28" s="54">
        <v>5</v>
      </c>
      <c r="L28" s="25" t="str">
        <f>HYPERLINK("http://pirotehnika-optom.ru/3-petardy-optom/4371-komanda-korsara-morgana-5f.html","Просмотр")</f>
        <v>0</v>
      </c>
    </row>
    <row r="29" spans="1:12" customHeight="1" ht="11.25">
      <c r="A29" s="43">
        <v>14</v>
      </c>
      <c r="B29" s="44" t="s">
        <v>37</v>
      </c>
      <c r="C29" s="45" t="s">
        <v>37</v>
      </c>
      <c r="D29" s="43" t="s">
        <v>70</v>
      </c>
      <c r="E29" s="45" t="s">
        <v>69</v>
      </c>
      <c r="F29" s="46" t="s">
        <v>36</v>
      </c>
      <c r="G29" s="46">
        <v>12</v>
      </c>
      <c r="H29" s="46">
        <v>120</v>
      </c>
      <c r="I29" s="47">
        <v>327.46</v>
      </c>
      <c r="J29" s="48">
        <v>27.29</v>
      </c>
      <c r="K29" s="54">
        <v>63</v>
      </c>
      <c r="L29" s="25" t="str">
        <f>HYPERLINK("http://pirotehnika-optom.ru/3-petardy-optom/6535-komanda-korsara-morgana-5f-6535.html","Просмотр")</f>
        <v>0</v>
      </c>
    </row>
    <row r="30" spans="1:12" customHeight="1" ht="11.25">
      <c r="A30" s="43">
        <v>15</v>
      </c>
      <c r="B30" s="44" t="s">
        <v>37</v>
      </c>
      <c r="C30" s="45" t="s">
        <v>37</v>
      </c>
      <c r="D30" s="43" t="s">
        <v>71</v>
      </c>
      <c r="E30" s="45" t="s">
        <v>72</v>
      </c>
      <c r="F30" s="46" t="s">
        <v>36</v>
      </c>
      <c r="G30" s="46">
        <v>3</v>
      </c>
      <c r="H30" s="46">
        <v>48</v>
      </c>
      <c r="I30" s="47">
        <v>582.75</v>
      </c>
      <c r="J30" s="48">
        <v>194.25</v>
      </c>
      <c r="K30" s="54">
        <v>3</v>
      </c>
      <c r="L30" s="25" t="str">
        <f>HYPERLINK("http://pirotehnika-optom.ru/3-petardy-optom/4802-dzhambo.html","Просмотр")</f>
        <v>0</v>
      </c>
    </row>
    <row r="31" spans="1:12" customHeight="1" ht="11.25">
      <c r="A31" s="43">
        <v>16</v>
      </c>
      <c r="B31" s="44" t="s">
        <v>37</v>
      </c>
      <c r="C31" s="45" t="s">
        <v>37</v>
      </c>
      <c r="D31" s="43" t="s">
        <v>73</v>
      </c>
      <c r="E31" s="45" t="s">
        <v>72</v>
      </c>
      <c r="F31" s="46" t="s">
        <v>36</v>
      </c>
      <c r="G31" s="46">
        <v>3</v>
      </c>
      <c r="H31" s="46">
        <v>48</v>
      </c>
      <c r="I31" s="47">
        <v>582.75</v>
      </c>
      <c r="J31" s="48">
        <v>194.25</v>
      </c>
      <c r="K31" s="54">
        <v>46</v>
      </c>
      <c r="L31" s="25" t="str">
        <f>HYPERLINK("http://pirotehnika-optom.ru/3-petardy-optom/6142-dzhambo-6142.html","Просмотр")</f>
        <v>0</v>
      </c>
    </row>
    <row r="32" spans="1:12" customHeight="1" ht="11.25">
      <c r="A32" s="43">
        <v>17</v>
      </c>
      <c r="B32" s="44" t="s">
        <v>37</v>
      </c>
      <c r="C32" s="45" t="s">
        <v>37</v>
      </c>
      <c r="D32" s="43" t="s">
        <v>74</v>
      </c>
      <c r="E32" s="45" t="s">
        <v>75</v>
      </c>
      <c r="F32" s="46" t="s">
        <v>67</v>
      </c>
      <c r="G32" s="46" t="s">
        <v>37</v>
      </c>
      <c r="H32" s="46">
        <v>56</v>
      </c>
      <c r="I32" s="47">
        <v>418.95</v>
      </c>
      <c r="J32" s="48">
        <v>418.95</v>
      </c>
      <c r="K32" s="54">
        <v>55</v>
      </c>
      <c r="L32" s="25" t="str">
        <f>HYPERLINK("http://pirotehnika-optom.ru/3-petardy-optom/4801-super-dzhambo.html","Просмотр")</f>
        <v>0</v>
      </c>
    </row>
    <row r="33" spans="1:12" customHeight="1" ht="11.25">
      <c r="A33" s="43">
        <v>18</v>
      </c>
      <c r="B33" s="44" t="s">
        <v>37</v>
      </c>
      <c r="C33" s="45" t="s">
        <v>37</v>
      </c>
      <c r="D33" s="43" t="s">
        <v>76</v>
      </c>
      <c r="E33" s="45" t="s">
        <v>77</v>
      </c>
      <c r="F33" s="46" t="s">
        <v>50</v>
      </c>
      <c r="G33" s="46" t="s">
        <v>78</v>
      </c>
      <c r="H33" s="46">
        <v>40</v>
      </c>
      <c r="I33" s="47">
        <v>577.5</v>
      </c>
      <c r="J33" s="48">
        <v>115.5</v>
      </c>
      <c r="K33" s="54">
        <v>358</v>
      </c>
      <c r="L33" s="25" t="str">
        <f>HYPERLINK("http://pirotehnika-optom.ru/3-petardy-optom/6139-super-bombejka-6139.html","Просмотр")</f>
        <v>0</v>
      </c>
    </row>
    <row r="34" spans="1:12" customHeight="1" ht="11.25">
      <c r="A34" s="43">
        <v>19</v>
      </c>
      <c r="B34" s="44" t="s">
        <v>37</v>
      </c>
      <c r="C34" s="45" t="s">
        <v>79</v>
      </c>
      <c r="D34" s="43" t="s">
        <v>80</v>
      </c>
      <c r="E34" s="45" t="s">
        <v>81</v>
      </c>
      <c r="F34" s="46" t="s">
        <v>36</v>
      </c>
      <c r="G34" s="46">
        <v>3</v>
      </c>
      <c r="H34" s="46">
        <v>40</v>
      </c>
      <c r="I34" s="47">
        <v>270</v>
      </c>
      <c r="J34" s="48">
        <v>90</v>
      </c>
      <c r="K34" s="54">
        <v>173</v>
      </c>
      <c r="L34" s="25" t="str">
        <f>HYPERLINK("http://pirotehnika-optom.ru/3-petardy-optom/4596-smerch-8.html","Просмотр")</f>
        <v>0</v>
      </c>
    </row>
    <row r="35" spans="1:12" customHeight="1" ht="11.25">
      <c r="A35" s="43">
        <v>20</v>
      </c>
      <c r="B35" s="44" t="s">
        <v>37</v>
      </c>
      <c r="C35" s="45" t="s">
        <v>37</v>
      </c>
      <c r="D35" s="43" t="s">
        <v>82</v>
      </c>
      <c r="E35" s="45" t="s">
        <v>83</v>
      </c>
      <c r="F35" s="46" t="s">
        <v>36</v>
      </c>
      <c r="G35" s="46">
        <v>3</v>
      </c>
      <c r="H35" s="46">
        <v>40</v>
      </c>
      <c r="I35" s="47">
        <v>360</v>
      </c>
      <c r="J35" s="48">
        <v>120</v>
      </c>
      <c r="K35" s="54">
        <v>121</v>
      </c>
      <c r="L35" s="25" t="str">
        <f>HYPERLINK("http://pirotehnika-optom.ru/3-petardy-optom/4527-petarda-smerch-10.html","Просмотр")</f>
        <v>0</v>
      </c>
    </row>
    <row r="36" spans="1:12" customHeight="1" ht="11.25">
      <c r="A36" s="43">
        <v>21</v>
      </c>
      <c r="B36" s="44" t="s">
        <v>37</v>
      </c>
      <c r="C36" s="45" t="s">
        <v>84</v>
      </c>
      <c r="D36" s="43" t="s">
        <v>85</v>
      </c>
      <c r="E36" s="45" t="s">
        <v>86</v>
      </c>
      <c r="F36" s="46" t="s">
        <v>50</v>
      </c>
      <c r="G36" s="46" t="s">
        <v>87</v>
      </c>
      <c r="H36" s="46">
        <v>16</v>
      </c>
      <c r="I36" s="47">
        <v>1058.4</v>
      </c>
      <c r="J36" s="48">
        <v>176.4</v>
      </c>
      <c r="K36" s="54">
        <v>36</v>
      </c>
      <c r="L36" s="25" t="str">
        <f>HYPERLINK("http://pirotehnika-optom.ru/3-petardy-optom/2492-tresshasshie-shary-crackling-ball.html","Просмотр")</f>
        <v>0</v>
      </c>
    </row>
    <row r="37" spans="1:12" customHeight="1" ht="11.25">
      <c r="A37" s="43">
        <v>22</v>
      </c>
      <c r="B37" s="44" t="s">
        <v>37</v>
      </c>
      <c r="C37" s="45" t="s">
        <v>37</v>
      </c>
      <c r="D37" s="43" t="s">
        <v>88</v>
      </c>
      <c r="E37" s="45" t="s">
        <v>89</v>
      </c>
      <c r="F37" s="46" t="s">
        <v>50</v>
      </c>
      <c r="G37" s="46" t="s">
        <v>90</v>
      </c>
      <c r="H37" s="46">
        <v>24</v>
      </c>
      <c r="I37" s="47">
        <v>826.88</v>
      </c>
      <c r="J37" s="48">
        <v>13.78</v>
      </c>
      <c r="K37" s="54">
        <v>2</v>
      </c>
      <c r="L37" s="25" t="str">
        <f>HYPERLINK("http://pirotehnika-optom.ru/3-petardy-optom/1674-super-warrior.html","Просмотр")</f>
        <v>0</v>
      </c>
    </row>
    <row r="38" spans="1:12" customHeight="1" ht="11.25">
      <c r="A38" s="43">
        <v>23</v>
      </c>
      <c r="B38" s="44" t="s">
        <v>37</v>
      </c>
      <c r="C38" s="45" t="s">
        <v>37</v>
      </c>
      <c r="D38" s="43" t="s">
        <v>91</v>
      </c>
      <c r="E38" s="45" t="s">
        <v>92</v>
      </c>
      <c r="F38" s="46" t="s">
        <v>50</v>
      </c>
      <c r="G38" s="46" t="s">
        <v>93</v>
      </c>
      <c r="H38" s="46">
        <v>50</v>
      </c>
      <c r="I38" s="47">
        <v>735</v>
      </c>
      <c r="J38" s="48">
        <v>36.75</v>
      </c>
      <c r="K38" s="54">
        <v>531</v>
      </c>
      <c r="L38" s="25" t="str">
        <f>HYPERLINK("http://pirotehnika-optom.ru/3-petardy-optom/2106-monster.html","Просмотр")</f>
        <v>0</v>
      </c>
    </row>
    <row r="39" spans="1:12" customHeight="1" ht="11.25">
      <c r="A39" s="43">
        <v>24</v>
      </c>
      <c r="B39" s="44" t="s">
        <v>37</v>
      </c>
      <c r="C39" s="45" t="s">
        <v>37</v>
      </c>
      <c r="D39" s="43" t="s">
        <v>94</v>
      </c>
      <c r="E39" s="45" t="s">
        <v>95</v>
      </c>
      <c r="F39" s="46" t="s">
        <v>36</v>
      </c>
      <c r="G39" s="46">
        <v>50</v>
      </c>
      <c r="H39" s="46">
        <v>100</v>
      </c>
      <c r="I39" s="47">
        <v>236.25</v>
      </c>
      <c r="J39" s="48">
        <v>4.73</v>
      </c>
      <c r="K39" s="54">
        <v>351</v>
      </c>
      <c r="L39" s="25" t="str">
        <f>HYPERLINK("http://pirotehnika-optom.ru/3-petardy-optom/2085-petardy-little-pirat-korsar-3-upakovka.html","Просмотр")</f>
        <v>0</v>
      </c>
    </row>
    <row r="40" spans="1:12" customHeight="1" ht="11.25">
      <c r="A40" s="43">
        <v>25</v>
      </c>
      <c r="B40" s="44" t="s">
        <v>37</v>
      </c>
      <c r="C40" s="45" t="s">
        <v>37</v>
      </c>
      <c r="D40" s="43" t="s">
        <v>96</v>
      </c>
      <c r="E40" s="45" t="s">
        <v>97</v>
      </c>
      <c r="F40" s="46" t="s">
        <v>50</v>
      </c>
      <c r="G40" s="46" t="s">
        <v>98</v>
      </c>
      <c r="H40" s="46">
        <v>6</v>
      </c>
      <c r="I40" s="47">
        <v>2835</v>
      </c>
      <c r="J40" s="48">
        <v>56.7</v>
      </c>
      <c r="K40" s="54">
        <v>55</v>
      </c>
      <c r="L40" s="25" t="str">
        <f>HYPERLINK("http://pirotehnika-optom.ru/3-petardy-optom/2114-strzelajace-diabelki.html","Просмотр")</f>
        <v>0</v>
      </c>
    </row>
    <row r="41" spans="1:12" customHeight="1" ht="11.25">
      <c r="A41" s="43">
        <v>26</v>
      </c>
      <c r="B41" s="44" t="s">
        <v>37</v>
      </c>
      <c r="C41" s="45" t="s">
        <v>37</v>
      </c>
      <c r="D41" s="43" t="s">
        <v>99</v>
      </c>
      <c r="E41" s="45" t="s">
        <v>100</v>
      </c>
      <c r="F41" s="46" t="s">
        <v>50</v>
      </c>
      <c r="G41" s="46" t="s">
        <v>101</v>
      </c>
      <c r="H41" s="46">
        <v>4</v>
      </c>
      <c r="I41" s="47">
        <v>3613.05</v>
      </c>
      <c r="J41" s="48">
        <v>72.26000000000001</v>
      </c>
      <c r="K41" s="54">
        <v>62</v>
      </c>
      <c r="L41" s="25" t="str">
        <f>HYPERLINK("http://pirotehnika-optom.ru/3-petardy-optom/3786-big-shaper.html","Просмотр")</f>
        <v>0</v>
      </c>
    </row>
    <row r="42" spans="1:12" customHeight="1" ht="11.25">
      <c r="A42" s="43">
        <v>27</v>
      </c>
      <c r="B42" s="44" t="s">
        <v>37</v>
      </c>
      <c r="C42" s="45" t="s">
        <v>37</v>
      </c>
      <c r="D42" s="43" t="s">
        <v>102</v>
      </c>
      <c r="E42" s="45" t="s">
        <v>103</v>
      </c>
      <c r="F42" s="46" t="s">
        <v>50</v>
      </c>
      <c r="G42" s="46" t="s">
        <v>104</v>
      </c>
      <c r="H42" s="46">
        <v>12</v>
      </c>
      <c r="I42" s="47">
        <v>2268</v>
      </c>
      <c r="J42" s="48">
        <v>31.5</v>
      </c>
      <c r="K42" s="54">
        <v>22</v>
      </c>
      <c r="L42" s="25" t="str">
        <f>HYPERLINK("http://pirotehnika-optom.ru/3-petardy-optom/6310-pistony-127272-6310.html","Просмотр")</f>
        <v>0</v>
      </c>
    </row>
    <row r="43" spans="1:12" customHeight="1" ht="11.25">
      <c r="A43" s="43">
        <v>28</v>
      </c>
      <c r="B43" s="44" t="s">
        <v>37</v>
      </c>
      <c r="C43" s="45" t="s">
        <v>37</v>
      </c>
      <c r="D43" s="43" t="s">
        <v>105</v>
      </c>
      <c r="E43" s="45" t="s">
        <v>106</v>
      </c>
      <c r="F43" s="46" t="s">
        <v>36</v>
      </c>
      <c r="G43" s="46">
        <v>20</v>
      </c>
      <c r="H43" s="46">
        <v>96</v>
      </c>
      <c r="I43" s="47">
        <v>578.55</v>
      </c>
      <c r="J43" s="48">
        <v>28.93</v>
      </c>
      <c r="K43" s="54">
        <v>682</v>
      </c>
      <c r="L43" s="25" t="str">
        <f>HYPERLINK("http://pirotehnika-optom.ru/3-petardy-optom/5468-petardy-p20.html","Просмотр")</f>
        <v>0</v>
      </c>
    </row>
    <row r="44" spans="1:12" customHeight="1" ht="11.25">
      <c r="A44" s="43">
        <v>29</v>
      </c>
      <c r="B44" s="44" t="s">
        <v>107</v>
      </c>
      <c r="C44" s="45" t="s">
        <v>64</v>
      </c>
      <c r="D44" s="43" t="s">
        <v>108</v>
      </c>
      <c r="E44" s="45" t="s">
        <v>109</v>
      </c>
      <c r="F44" s="46" t="s">
        <v>36</v>
      </c>
      <c r="G44" s="46">
        <v>4</v>
      </c>
      <c r="H44" s="46">
        <v>18</v>
      </c>
      <c r="I44" s="47">
        <v>2730</v>
      </c>
      <c r="J44" s="48">
        <v>682.5</v>
      </c>
      <c r="K44" s="54">
        <v>13</v>
      </c>
      <c r="L44" s="25" t="str">
        <f>HYPERLINK("http://pirotehnika-optom.ru/4-rakety-optom/5870-perekhvat-12-11.html","Просмотр")</f>
        <v>0</v>
      </c>
    </row>
    <row r="45" spans="1:12" customHeight="1" ht="11.25">
      <c r="A45" s="43">
        <v>30</v>
      </c>
      <c r="B45" s="44" t="s">
        <v>37</v>
      </c>
      <c r="C45" s="45" t="s">
        <v>84</v>
      </c>
      <c r="D45" s="43" t="s">
        <v>110</v>
      </c>
      <c r="E45" s="45" t="s">
        <v>111</v>
      </c>
      <c r="F45" s="46" t="s">
        <v>36</v>
      </c>
      <c r="G45" s="46">
        <v>7</v>
      </c>
      <c r="H45" s="46">
        <v>24</v>
      </c>
      <c r="I45" s="47">
        <v>1890</v>
      </c>
      <c r="J45" s="48">
        <v>270</v>
      </c>
      <c r="K45" s="54">
        <v>72</v>
      </c>
      <c r="L45" s="25" t="str">
        <f>HYPERLINK("http://pirotehnika-optom.ru/4-rakety-optom/4367-rakety-gwr6117-uranus-7-sht.html","Просмотр")</f>
        <v>0</v>
      </c>
    </row>
    <row r="46" spans="1:12" customHeight="1" ht="11.25">
      <c r="A46" s="43">
        <v>31</v>
      </c>
      <c r="B46" s="44" t="s">
        <v>37</v>
      </c>
      <c r="C46" s="45" t="s">
        <v>37</v>
      </c>
      <c r="D46" s="43" t="s">
        <v>112</v>
      </c>
      <c r="E46" s="45" t="s">
        <v>113</v>
      </c>
      <c r="F46" s="46" t="s">
        <v>36</v>
      </c>
      <c r="G46" s="46">
        <v>14</v>
      </c>
      <c r="H46" s="46">
        <v>20</v>
      </c>
      <c r="I46" s="47">
        <v>3189.38</v>
      </c>
      <c r="J46" s="48">
        <v>227.81</v>
      </c>
      <c r="K46" s="54">
        <v>22</v>
      </c>
      <c r="L46" s="25" t="str">
        <f>HYPERLINK("http://pirotehnika-optom.ru/4-rakety-optom/5166-purple-rain-14-sht.html","Просмотр")</f>
        <v>0</v>
      </c>
    </row>
    <row r="47" spans="1:12" customHeight="1" ht="11.25">
      <c r="A47" s="43">
        <v>32</v>
      </c>
      <c r="B47" s="44" t="s">
        <v>37</v>
      </c>
      <c r="C47" s="45" t="s">
        <v>37</v>
      </c>
      <c r="D47" s="43" t="s">
        <v>114</v>
      </c>
      <c r="E47" s="45" t="s">
        <v>115</v>
      </c>
      <c r="F47" s="46" t="s">
        <v>36</v>
      </c>
      <c r="G47" s="46">
        <v>9</v>
      </c>
      <c r="H47" s="46">
        <v>24</v>
      </c>
      <c r="I47" s="47">
        <v>2008.65</v>
      </c>
      <c r="J47" s="48">
        <v>223.18</v>
      </c>
      <c r="K47" s="54">
        <v>106</v>
      </c>
      <c r="L47" s="25" t="str">
        <f>HYPERLINK("http://pirotehnika-optom.ru/4-rakety-optom/3792-nabor-raket-9.html","Просмотр")</f>
        <v>0</v>
      </c>
    </row>
    <row r="48" spans="1:12" customHeight="1" ht="11.25">
      <c r="A48" s="43">
        <v>33</v>
      </c>
      <c r="B48" s="44" t="s">
        <v>37</v>
      </c>
      <c r="C48" s="45" t="s">
        <v>37</v>
      </c>
      <c r="D48" s="43" t="s">
        <v>116</v>
      </c>
      <c r="E48" s="45" t="s">
        <v>117</v>
      </c>
      <c r="F48" s="46" t="s">
        <v>67</v>
      </c>
      <c r="G48" s="46" t="s">
        <v>37</v>
      </c>
      <c r="H48" s="46">
        <v>12</v>
      </c>
      <c r="I48" s="47">
        <v>3307.5</v>
      </c>
      <c r="J48" s="48">
        <v>3307.5</v>
      </c>
      <c r="K48" s="54">
        <v>4</v>
      </c>
      <c r="L48" s="25" t="str">
        <f>HYPERLINK("http://pirotehnika-optom.ru/4-rakety-optom/3249-nabor-xxl-12-raket.html","Просмотр")</f>
        <v>0</v>
      </c>
    </row>
    <row r="49" spans="1:12" customHeight="1" ht="11.25">
      <c r="A49" s="43">
        <v>34</v>
      </c>
      <c r="B49" s="44" t="s">
        <v>118</v>
      </c>
      <c r="C49" s="45" t="s">
        <v>33</v>
      </c>
      <c r="D49" s="43" t="s">
        <v>119</v>
      </c>
      <c r="E49" s="45" t="s">
        <v>120</v>
      </c>
      <c r="F49" s="46" t="s">
        <v>50</v>
      </c>
      <c r="G49" s="46" t="s">
        <v>121</v>
      </c>
      <c r="H49" s="46">
        <v>18</v>
      </c>
      <c r="I49" s="47">
        <v>3719.52</v>
      </c>
      <c r="J49" s="48">
        <v>619.92</v>
      </c>
      <c r="K49" s="54">
        <v>18</v>
      </c>
      <c r="L49" s="25" t="str">
        <f>HYPERLINK("http://pirotehnika-optom.ru/5-vrasshayusshiesya-fejerverki-optom/4522-vspysh.html","Просмотр")</f>
        <v>0</v>
      </c>
    </row>
    <row r="50" spans="1:12" customHeight="1" ht="11.25">
      <c r="A50" s="43">
        <v>35</v>
      </c>
      <c r="B50" s="44" t="s">
        <v>37</v>
      </c>
      <c r="C50" s="45" t="s">
        <v>37</v>
      </c>
      <c r="D50" s="43" t="s">
        <v>122</v>
      </c>
      <c r="E50" s="45" t="s">
        <v>123</v>
      </c>
      <c r="F50" s="46" t="s">
        <v>36</v>
      </c>
      <c r="G50" s="46">
        <v>6</v>
      </c>
      <c r="H50" s="46">
        <v>120</v>
      </c>
      <c r="I50" s="47">
        <v>378</v>
      </c>
      <c r="J50" s="48">
        <v>63</v>
      </c>
      <c r="K50" s="54">
        <v>39</v>
      </c>
      <c r="L50" s="25" t="str">
        <f>HYPERLINK("http://pirotehnika-optom.ru/5-vrasshayusshiesya-fejerverki-optom/584-lunnyj-cvetok-umenshena-fasovka.html","Просмотр")</f>
        <v>0</v>
      </c>
    </row>
    <row r="51" spans="1:12" customHeight="1" ht="11.25">
      <c r="A51" s="43">
        <v>36</v>
      </c>
      <c r="B51" s="44" t="s">
        <v>37</v>
      </c>
      <c r="C51" s="45" t="s">
        <v>64</v>
      </c>
      <c r="D51" s="43" t="s">
        <v>124</v>
      </c>
      <c r="E51" s="45" t="s">
        <v>125</v>
      </c>
      <c r="F51" s="46" t="s">
        <v>67</v>
      </c>
      <c r="G51" s="46" t="s">
        <v>37</v>
      </c>
      <c r="H51" s="46">
        <v>60</v>
      </c>
      <c r="I51" s="47">
        <v>535.5</v>
      </c>
      <c r="J51" s="48">
        <v>535.5</v>
      </c>
      <c r="K51" s="54">
        <v>94</v>
      </c>
      <c r="L51" s="25" t="str">
        <f>HYPERLINK("http://pirotehnika-optom.ru/5-vrasshayusshiesya-fejerverki-optom/5800-tornado.html","Просмотр")</f>
        <v>0</v>
      </c>
    </row>
    <row r="52" spans="1:12" customHeight="1" ht="11.25">
      <c r="A52" s="43">
        <v>37</v>
      </c>
      <c r="B52" s="44" t="s">
        <v>37</v>
      </c>
      <c r="C52" s="45" t="s">
        <v>37</v>
      </c>
      <c r="D52" s="43" t="s">
        <v>126</v>
      </c>
      <c r="E52" s="45" t="s">
        <v>127</v>
      </c>
      <c r="F52" s="46" t="s">
        <v>36</v>
      </c>
      <c r="G52" s="46">
        <v>10</v>
      </c>
      <c r="H52" s="46">
        <v>100</v>
      </c>
      <c r="I52" s="47">
        <v>294</v>
      </c>
      <c r="J52" s="48">
        <v>29.4</v>
      </c>
      <c r="K52" s="54">
        <v>14</v>
      </c>
      <c r="L52" s="25" t="str">
        <f>HYPERLINK("http://pirotehnika-optom.ru/5-vrasshayusshiesya-fejerverki-optom/6572-svetlyachok-6572.html","Просмотр")</f>
        <v>0</v>
      </c>
    </row>
    <row r="53" spans="1:12" customHeight="1" ht="11.25">
      <c r="A53" s="43">
        <v>38</v>
      </c>
      <c r="B53" s="44" t="s">
        <v>37</v>
      </c>
      <c r="C53" s="45" t="s">
        <v>37</v>
      </c>
      <c r="D53" s="43" t="s">
        <v>128</v>
      </c>
      <c r="E53" s="45" t="s">
        <v>129</v>
      </c>
      <c r="F53" s="46" t="s">
        <v>67</v>
      </c>
      <c r="G53" s="46" t="s">
        <v>37</v>
      </c>
      <c r="H53" s="46">
        <v>20</v>
      </c>
      <c r="I53" s="47">
        <v>1433.25</v>
      </c>
      <c r="J53" s="48">
        <v>1433.25</v>
      </c>
      <c r="K53" s="54">
        <v>32</v>
      </c>
      <c r="L53" s="25" t="str">
        <f>HYPERLINK("http://pirotehnika-optom.ru/5-vrasshayusshiesya-fejerverki-optom/5801-iskristyj-smerch.html","Просмотр")</f>
        <v>0</v>
      </c>
    </row>
    <row r="54" spans="1:12" customHeight="1" ht="11.25">
      <c r="A54" s="43">
        <v>39</v>
      </c>
      <c r="B54" s="44" t="s">
        <v>37</v>
      </c>
      <c r="C54" s="45" t="s">
        <v>37</v>
      </c>
      <c r="D54" s="43" t="s">
        <v>130</v>
      </c>
      <c r="E54" s="45" t="s">
        <v>131</v>
      </c>
      <c r="F54" s="46" t="s">
        <v>67</v>
      </c>
      <c r="G54" s="46" t="s">
        <v>37</v>
      </c>
      <c r="H54" s="46">
        <v>16</v>
      </c>
      <c r="I54" s="47">
        <v>2089.5</v>
      </c>
      <c r="J54" s="48">
        <v>2089.5</v>
      </c>
      <c r="K54" s="54">
        <v>16</v>
      </c>
      <c r="L54" s="25" t="str">
        <f>HYPERLINK("http://pirotehnika-optom.ru/5-vrasshayusshiesya-fejerverki-optom/5866-kosmolyot.html","Просмотр")</f>
        <v>0</v>
      </c>
    </row>
    <row r="55" spans="1:12" customHeight="1" ht="11.25">
      <c r="A55" s="43">
        <v>40</v>
      </c>
      <c r="B55" s="44" t="s">
        <v>37</v>
      </c>
      <c r="C55" s="45" t="s">
        <v>37</v>
      </c>
      <c r="D55" s="43" t="s">
        <v>132</v>
      </c>
      <c r="E55" s="45" t="s">
        <v>133</v>
      </c>
      <c r="F55" s="46" t="s">
        <v>36</v>
      </c>
      <c r="G55" s="46">
        <v>4</v>
      </c>
      <c r="H55" s="46">
        <v>36</v>
      </c>
      <c r="I55" s="47">
        <v>833.49</v>
      </c>
      <c r="J55" s="48">
        <v>208.37</v>
      </c>
      <c r="K55" s="54">
        <v>2</v>
      </c>
      <c r="L55" s="25" t="str">
        <f>HYPERLINK("http://pirotehnika-optom.ru/5-vrasshayusshiesya-fejerverki-optom/5868-vertushka-lancet.html","Просмотр")</f>
        <v>0</v>
      </c>
    </row>
    <row r="56" spans="1:12" customHeight="1" ht="11.25">
      <c r="A56" s="43">
        <v>41</v>
      </c>
      <c r="B56" s="44" t="s">
        <v>37</v>
      </c>
      <c r="C56" s="45" t="s">
        <v>37</v>
      </c>
      <c r="D56" s="43" t="s">
        <v>134</v>
      </c>
      <c r="E56" s="45" t="s">
        <v>133</v>
      </c>
      <c r="F56" s="46" t="s">
        <v>36</v>
      </c>
      <c r="G56" s="46">
        <v>4</v>
      </c>
      <c r="H56" s="46">
        <v>36</v>
      </c>
      <c r="I56" s="47">
        <v>833.49</v>
      </c>
      <c r="J56" s="48">
        <v>208.37</v>
      </c>
      <c r="K56" s="54">
        <v>18</v>
      </c>
      <c r="L56" s="25" t="str">
        <f>HYPERLINK("http://pirotehnika-optom.ru/5-vrasshayusshiesya-fejerverki-optom/6573-vertushka-lancet-6573.html","Просмотр")</f>
        <v>0</v>
      </c>
    </row>
    <row r="57" spans="1:12" customHeight="1" ht="11.25">
      <c r="A57" s="43">
        <v>42</v>
      </c>
      <c r="B57" s="44" t="s">
        <v>37</v>
      </c>
      <c r="C57" s="45" t="s">
        <v>37</v>
      </c>
      <c r="D57" s="43" t="s">
        <v>135</v>
      </c>
      <c r="E57" s="45" t="s">
        <v>136</v>
      </c>
      <c r="F57" s="46" t="s">
        <v>67</v>
      </c>
      <c r="G57" s="46" t="s">
        <v>37</v>
      </c>
      <c r="H57" s="46">
        <v>12</v>
      </c>
      <c r="I57" s="47">
        <v>3255</v>
      </c>
      <c r="J57" s="48">
        <v>3255</v>
      </c>
      <c r="K57" s="54">
        <v>18</v>
      </c>
      <c r="L57" s="25" t="str">
        <f>HYPERLINK("http://pirotehnika-optom.ru/5-vrasshayusshiesya-fejerverki-optom/5872-tancuyusshie-babochki.html","Просмотр")</f>
        <v>0</v>
      </c>
    </row>
    <row r="58" spans="1:12" customHeight="1" ht="11.25">
      <c r="A58" s="43">
        <v>43</v>
      </c>
      <c r="B58" s="44" t="s">
        <v>137</v>
      </c>
      <c r="C58" s="45" t="s">
        <v>33</v>
      </c>
      <c r="D58" s="43" t="s">
        <v>138</v>
      </c>
      <c r="E58" s="45" t="s">
        <v>139</v>
      </c>
      <c r="F58" s="46" t="s">
        <v>36</v>
      </c>
      <c r="G58" s="46">
        <v>6</v>
      </c>
      <c r="H58" s="46">
        <v>24</v>
      </c>
      <c r="I58" s="47">
        <v>1329.3</v>
      </c>
      <c r="J58" s="48">
        <v>221.55</v>
      </c>
      <c r="K58" s="54">
        <v>20</v>
      </c>
      <c r="L58" s="25" t="str">
        <f>HYPERLINK("http://pirotehnika-optom.ru/6-fontany-optom/6265-elf-konus-4.html","Просмотр")</f>
        <v>0</v>
      </c>
    </row>
    <row r="59" spans="1:12" customHeight="1" ht="11.25">
      <c r="A59" s="43">
        <v>44</v>
      </c>
      <c r="B59" s="44" t="s">
        <v>37</v>
      </c>
      <c r="C59" s="45" t="s">
        <v>37</v>
      </c>
      <c r="D59" s="43" t="s">
        <v>140</v>
      </c>
      <c r="E59" s="45" t="s">
        <v>141</v>
      </c>
      <c r="F59" s="46" t="s">
        <v>36</v>
      </c>
      <c r="G59" s="46">
        <v>6</v>
      </c>
      <c r="H59" s="46">
        <v>24</v>
      </c>
      <c r="I59" s="47">
        <v>800.1</v>
      </c>
      <c r="J59" s="48">
        <v>133.35</v>
      </c>
      <c r="K59" s="54">
        <v>14</v>
      </c>
      <c r="L59" s="25" t="str">
        <f>HYPERLINK("http://pirotehnika-optom.ru/6-fontany-optom/6264-yozhik-4.html","Просмотр")</f>
        <v>0</v>
      </c>
    </row>
    <row r="60" spans="1:12" customHeight="1" ht="11.25">
      <c r="A60" s="43">
        <v>45</v>
      </c>
      <c r="B60" s="44" t="s">
        <v>37</v>
      </c>
      <c r="C60" s="45" t="s">
        <v>37</v>
      </c>
      <c r="D60" s="43" t="s">
        <v>142</v>
      </c>
      <c r="E60" s="45" t="s">
        <v>143</v>
      </c>
      <c r="F60" s="46" t="s">
        <v>36</v>
      </c>
      <c r="G60" s="46">
        <v>6</v>
      </c>
      <c r="H60" s="46">
        <v>18</v>
      </c>
      <c r="I60" s="47">
        <v>2160.9</v>
      </c>
      <c r="J60" s="48">
        <v>360.15</v>
      </c>
      <c r="K60" s="54">
        <v>15</v>
      </c>
      <c r="L60" s="25" t="str">
        <f>HYPERLINK("http://pirotehnika-optom.ru/6-fontany-optom/6266-chudo-konus-5.html","Просмотр")</f>
        <v>0</v>
      </c>
    </row>
    <row r="61" spans="1:12" customHeight="1" ht="11.25">
      <c r="A61" s="43">
        <v>46</v>
      </c>
      <c r="B61" s="44" t="s">
        <v>37</v>
      </c>
      <c r="C61" s="45" t="s">
        <v>37</v>
      </c>
      <c r="D61" s="43" t="s">
        <v>144</v>
      </c>
      <c r="E61" s="45" t="s">
        <v>145</v>
      </c>
      <c r="F61" s="46" t="s">
        <v>36</v>
      </c>
      <c r="G61" s="46">
        <v>4</v>
      </c>
      <c r="H61" s="46">
        <v>12</v>
      </c>
      <c r="I61" s="47">
        <v>1932</v>
      </c>
      <c r="J61" s="48">
        <v>483</v>
      </c>
      <c r="K61" s="54">
        <v>10</v>
      </c>
      <c r="L61" s="25" t="str">
        <f>HYPERLINK("http://pirotehnika-optom.ru/6-fontany-optom/6267-yorsh-konus-6.html","Просмотр")</f>
        <v>0</v>
      </c>
    </row>
    <row r="62" spans="1:12" customHeight="1" ht="11.25">
      <c r="A62" s="43">
        <v>47</v>
      </c>
      <c r="B62" s="44" t="s">
        <v>37</v>
      </c>
      <c r="C62" s="45" t="s">
        <v>37</v>
      </c>
      <c r="D62" s="43" t="s">
        <v>146</v>
      </c>
      <c r="E62" s="45" t="s">
        <v>147</v>
      </c>
      <c r="F62" s="46" t="s">
        <v>36</v>
      </c>
      <c r="G62" s="46">
        <v>4</v>
      </c>
      <c r="H62" s="46">
        <v>20</v>
      </c>
      <c r="I62" s="47">
        <v>1806</v>
      </c>
      <c r="J62" s="48">
        <v>451.5</v>
      </c>
      <c r="K62" s="54">
        <v>16</v>
      </c>
      <c r="L62" s="25" t="str">
        <f>HYPERLINK("http://pirotehnika-optom.ru/6-fontany-optom/6269-lapki-6.html","Просмотр")</f>
        <v>0</v>
      </c>
    </row>
    <row r="63" spans="1:12" customHeight="1" ht="11.25">
      <c r="A63" s="43">
        <v>48</v>
      </c>
      <c r="B63" s="44" t="s">
        <v>37</v>
      </c>
      <c r="C63" s="45" t="s">
        <v>37</v>
      </c>
      <c r="D63" s="43" t="s">
        <v>148</v>
      </c>
      <c r="E63" s="45" t="s">
        <v>149</v>
      </c>
      <c r="F63" s="46" t="s">
        <v>36</v>
      </c>
      <c r="G63" s="46">
        <v>4</v>
      </c>
      <c r="H63" s="46">
        <v>12</v>
      </c>
      <c r="I63" s="47">
        <v>2385.6</v>
      </c>
      <c r="J63" s="48">
        <v>596.4</v>
      </c>
      <c r="K63" s="54">
        <v>10</v>
      </c>
      <c r="L63" s="25" t="str">
        <f>HYPERLINK("http://pirotehnika-optom.ru/6-fontany-optom/596-zvyozdnaya-pyl-konus-6.html","Просмотр")</f>
        <v>0</v>
      </c>
    </row>
    <row r="64" spans="1:12" customHeight="1" ht="11.25">
      <c r="A64" s="43">
        <v>49</v>
      </c>
      <c r="B64" s="44" t="s">
        <v>37</v>
      </c>
      <c r="C64" s="45" t="s">
        <v>37</v>
      </c>
      <c r="D64" s="43" t="s">
        <v>150</v>
      </c>
      <c r="E64" s="45" t="s">
        <v>151</v>
      </c>
      <c r="F64" s="46" t="s">
        <v>36</v>
      </c>
      <c r="G64" s="46">
        <v>2</v>
      </c>
      <c r="H64" s="46">
        <v>12</v>
      </c>
      <c r="I64" s="47">
        <v>2887.5</v>
      </c>
      <c r="J64" s="48">
        <v>1443.75</v>
      </c>
      <c r="K64" s="54">
        <v>10</v>
      </c>
      <c r="L64" s="25" t="str">
        <f>HYPERLINK("http://pirotehnika-optom.ru/6-fontany-optom/6240-kakadu-9.html","Просмотр")</f>
        <v>0</v>
      </c>
    </row>
    <row r="65" spans="1:12" customHeight="1" ht="11.25">
      <c r="A65" s="43">
        <v>50</v>
      </c>
      <c r="B65" s="44" t="s">
        <v>37</v>
      </c>
      <c r="C65" s="45" t="s">
        <v>37</v>
      </c>
      <c r="D65" s="43" t="s">
        <v>152</v>
      </c>
      <c r="E65" s="45" t="s">
        <v>153</v>
      </c>
      <c r="F65" s="46" t="s">
        <v>36</v>
      </c>
      <c r="G65" s="46">
        <v>2</v>
      </c>
      <c r="H65" s="46">
        <v>9</v>
      </c>
      <c r="I65" s="47">
        <v>2625</v>
      </c>
      <c r="J65" s="48">
        <v>1312.5</v>
      </c>
      <c r="K65" s="54">
        <v>6</v>
      </c>
      <c r="L65" s="25" t="str">
        <f>HYPERLINK("http://pirotehnika-optom.ru/6-fontany-optom/3922-moroz-party.html","Просмотр")</f>
        <v>0</v>
      </c>
    </row>
    <row r="66" spans="1:12" customHeight="1" ht="11.25">
      <c r="A66" s="43">
        <v>51</v>
      </c>
      <c r="B66" s="44" t="s">
        <v>37</v>
      </c>
      <c r="C66" s="45" t="s">
        <v>37</v>
      </c>
      <c r="D66" s="43" t="s">
        <v>154</v>
      </c>
      <c r="E66" s="45" t="s">
        <v>127</v>
      </c>
      <c r="F66" s="46" t="s">
        <v>36</v>
      </c>
      <c r="G66" s="46">
        <v>3</v>
      </c>
      <c r="H66" s="46">
        <v>48</v>
      </c>
      <c r="I66" s="47">
        <v>359.1</v>
      </c>
      <c r="J66" s="48">
        <v>119.7</v>
      </c>
      <c r="K66" s="54">
        <v>33</v>
      </c>
      <c r="L66" s="25" t="str">
        <f>HYPERLINK("http://pirotehnika-optom.ru/6-fontany-optom/6270-svetlyachok.html","Просмотр")</f>
        <v>0</v>
      </c>
    </row>
    <row r="67" spans="1:12" customHeight="1" ht="11.25">
      <c r="A67" s="43">
        <v>52</v>
      </c>
      <c r="B67" s="44" t="s">
        <v>37</v>
      </c>
      <c r="C67" s="45" t="s">
        <v>37</v>
      </c>
      <c r="D67" s="43" t="s">
        <v>155</v>
      </c>
      <c r="E67" s="45" t="s">
        <v>156</v>
      </c>
      <c r="F67" s="46" t="s">
        <v>67</v>
      </c>
      <c r="G67" s="46" t="s">
        <v>37</v>
      </c>
      <c r="H67" s="46">
        <v>72</v>
      </c>
      <c r="I67" s="47">
        <v>320.25</v>
      </c>
      <c r="J67" s="48">
        <v>320.25</v>
      </c>
      <c r="K67" s="54">
        <v>48</v>
      </c>
      <c r="L67" s="25" t="str">
        <f>HYPERLINK("http://pirotehnika-optom.ru/6-fontany-optom/615-charodej-novyj-effekt.html","Просмотр")</f>
        <v>0</v>
      </c>
    </row>
    <row r="68" spans="1:12" customHeight="1" ht="11.25">
      <c r="A68" s="43">
        <v>53</v>
      </c>
      <c r="B68" s="44" t="s">
        <v>37</v>
      </c>
      <c r="C68" s="45" t="s">
        <v>37</v>
      </c>
      <c r="D68" s="43" t="s">
        <v>157</v>
      </c>
      <c r="E68" s="45" t="s">
        <v>158</v>
      </c>
      <c r="F68" s="46" t="s">
        <v>50</v>
      </c>
      <c r="G68" s="46" t="s">
        <v>159</v>
      </c>
      <c r="H68" s="46">
        <v>20</v>
      </c>
      <c r="I68" s="47">
        <v>2812.32</v>
      </c>
      <c r="J68" s="48">
        <v>703.08</v>
      </c>
      <c r="K68" s="54">
        <v>20</v>
      </c>
      <c r="L68" s="25" t="str">
        <f>HYPERLINK("http://pirotehnika-optom.ru/6-fontany-optom/643-nastolnyj-fontan.html","Просмотр")</f>
        <v>0</v>
      </c>
    </row>
    <row r="69" spans="1:12" customHeight="1" ht="11.25">
      <c r="A69" s="43">
        <v>54</v>
      </c>
      <c r="B69" s="44" t="s">
        <v>37</v>
      </c>
      <c r="C69" s="45" t="s">
        <v>37</v>
      </c>
      <c r="D69" s="43" t="s">
        <v>160</v>
      </c>
      <c r="E69" s="45" t="s">
        <v>158</v>
      </c>
      <c r="F69" s="46" t="s">
        <v>50</v>
      </c>
      <c r="G69" s="46" t="s">
        <v>159</v>
      </c>
      <c r="H69" s="46">
        <v>20</v>
      </c>
      <c r="I69" s="47">
        <v>3124.8</v>
      </c>
      <c r="J69" s="48">
        <v>781.2</v>
      </c>
      <c r="K69" s="54">
        <v>5</v>
      </c>
      <c r="L69" s="25" t="str">
        <f>HYPERLINK("http://pirotehnika-optom.ru/6-fontany-optom/5698-nastolnyj-fontan-5698.html","Просмотр")</f>
        <v>0</v>
      </c>
    </row>
    <row r="70" spans="1:12" customHeight="1" ht="11.25">
      <c r="A70" s="43">
        <v>55</v>
      </c>
      <c r="B70" s="44" t="s">
        <v>37</v>
      </c>
      <c r="C70" s="45" t="s">
        <v>37</v>
      </c>
      <c r="D70" s="43" t="s">
        <v>161</v>
      </c>
      <c r="E70" s="45" t="s">
        <v>162</v>
      </c>
      <c r="F70" s="46" t="s">
        <v>67</v>
      </c>
      <c r="G70" s="46" t="s">
        <v>37</v>
      </c>
      <c r="H70" s="46">
        <v>40</v>
      </c>
      <c r="I70" s="47">
        <v>1048.95</v>
      </c>
      <c r="J70" s="48">
        <v>1048.95</v>
      </c>
      <c r="K70" s="54">
        <v>49</v>
      </c>
      <c r="L70" s="25" t="str">
        <f>HYPERLINK("http://pirotehnika-optom.ru/6-fontany-optom/715-salyut-prokaznik-fontan-6vystrelov-3-effekta.html","Просмотр")</f>
        <v>0</v>
      </c>
    </row>
    <row r="71" spans="1:12" customHeight="1" ht="11.25">
      <c r="A71" s="43">
        <v>56</v>
      </c>
      <c r="B71" s="44" t="s">
        <v>37</v>
      </c>
      <c r="C71" s="45" t="s">
        <v>64</v>
      </c>
      <c r="D71" s="43" t="s">
        <v>163</v>
      </c>
      <c r="E71" s="45" t="s">
        <v>164</v>
      </c>
      <c r="F71" s="46" t="s">
        <v>36</v>
      </c>
      <c r="G71" s="46">
        <v>4</v>
      </c>
      <c r="H71" s="46">
        <v>144</v>
      </c>
      <c r="I71" s="47">
        <v>154.14</v>
      </c>
      <c r="J71" s="48">
        <v>38.54</v>
      </c>
      <c r="K71" s="54">
        <v>30</v>
      </c>
      <c r="L71" s="25" t="str">
        <f>HYPERLINK("http://pirotehnika-optom.ru/6-fontany-optom/3650-fontan-nastolnyjekstra-120mm.html","Просмотр")</f>
        <v>0</v>
      </c>
    </row>
    <row r="72" spans="1:12" customHeight="1" ht="11.25">
      <c r="A72" s="43">
        <v>57</v>
      </c>
      <c r="B72" s="44" t="s">
        <v>37</v>
      </c>
      <c r="C72" s="45" t="s">
        <v>37</v>
      </c>
      <c r="D72" s="43" t="s">
        <v>165</v>
      </c>
      <c r="E72" s="45" t="s">
        <v>166</v>
      </c>
      <c r="F72" s="46" t="s">
        <v>67</v>
      </c>
      <c r="G72" s="46" t="s">
        <v>37</v>
      </c>
      <c r="H72" s="46">
        <v>40</v>
      </c>
      <c r="I72" s="47">
        <v>656.25</v>
      </c>
      <c r="J72" s="48">
        <v>656.25</v>
      </c>
      <c r="K72" s="54">
        <v>27</v>
      </c>
      <c r="L72" s="25" t="str">
        <f>HYPERLINK("http://pirotehnika-optom.ru/6-fontany-optom/5161-fontan-pirotekhnicheskij-kalash.html","Просмотр")</f>
        <v>0</v>
      </c>
    </row>
    <row r="73" spans="1:12" customHeight="1" ht="11.25">
      <c r="A73" s="43">
        <v>58</v>
      </c>
      <c r="B73" s="44" t="s">
        <v>37</v>
      </c>
      <c r="C73" s="45" t="s">
        <v>37</v>
      </c>
      <c r="D73" s="43" t="s">
        <v>167</v>
      </c>
      <c r="E73" s="45" t="s">
        <v>168</v>
      </c>
      <c r="F73" s="46" t="s">
        <v>67</v>
      </c>
      <c r="G73" s="46" t="s">
        <v>37</v>
      </c>
      <c r="H73" s="46">
        <v>48</v>
      </c>
      <c r="I73" s="47">
        <v>719.25</v>
      </c>
      <c r="J73" s="48">
        <v>719.25</v>
      </c>
      <c r="K73" s="54">
        <v>78</v>
      </c>
      <c r="L73" s="25" t="str">
        <f>HYPERLINK("http://pirotehnika-optom.ru/6-fontany-optom/5152-volshebnaya-palochka.html","Просмотр")</f>
        <v>0</v>
      </c>
    </row>
    <row r="74" spans="1:12" customHeight="1" ht="11.25">
      <c r="A74" s="43">
        <v>59</v>
      </c>
      <c r="B74" s="44" t="s">
        <v>37</v>
      </c>
      <c r="C74" s="45" t="s">
        <v>37</v>
      </c>
      <c r="D74" s="43" t="s">
        <v>169</v>
      </c>
      <c r="E74" s="45" t="s">
        <v>170</v>
      </c>
      <c r="F74" s="46" t="s">
        <v>36</v>
      </c>
      <c r="G74" s="46">
        <v>2</v>
      </c>
      <c r="H74" s="46">
        <v>10</v>
      </c>
      <c r="I74" s="47">
        <v>3045</v>
      </c>
      <c r="J74" s="48">
        <v>1522.5</v>
      </c>
      <c r="K74" s="54">
        <v>17</v>
      </c>
      <c r="L74" s="25" t="str">
        <f>HYPERLINK("http://pirotehnika-optom.ru/6-fontany-optom/5153-lapa-jeti.html","Просмотр")</f>
        <v>0</v>
      </c>
    </row>
    <row r="75" spans="1:12" customHeight="1" ht="11.25">
      <c r="A75" s="43">
        <v>60</v>
      </c>
      <c r="B75" s="44" t="s">
        <v>37</v>
      </c>
      <c r="C75" s="45" t="s">
        <v>37</v>
      </c>
      <c r="D75" s="43" t="s">
        <v>171</v>
      </c>
      <c r="E75" s="45" t="s">
        <v>172</v>
      </c>
      <c r="F75" s="46" t="s">
        <v>67</v>
      </c>
      <c r="G75" s="46" t="s">
        <v>37</v>
      </c>
      <c r="H75" s="46">
        <v>16</v>
      </c>
      <c r="I75" s="47">
        <v>2441.25</v>
      </c>
      <c r="J75" s="48">
        <v>2441.25</v>
      </c>
      <c r="K75" s="54">
        <v>28</v>
      </c>
      <c r="L75" s="25" t="str">
        <f>HYPERLINK("http://pirotehnika-optom.ru/6-fontany-optom/6094-prazdnichnyj.html","Просмотр")</f>
        <v>0</v>
      </c>
    </row>
    <row r="76" spans="1:12" customHeight="1" ht="11.25">
      <c r="A76" s="43">
        <v>61</v>
      </c>
      <c r="B76" s="44" t="s">
        <v>37</v>
      </c>
      <c r="C76" s="45" t="s">
        <v>37</v>
      </c>
      <c r="D76" s="43" t="s">
        <v>173</v>
      </c>
      <c r="E76" s="45" t="s">
        <v>174</v>
      </c>
      <c r="F76" s="46" t="s">
        <v>67</v>
      </c>
      <c r="G76" s="46" t="s">
        <v>37</v>
      </c>
      <c r="H76" s="46">
        <v>72</v>
      </c>
      <c r="I76" s="47">
        <v>514.5</v>
      </c>
      <c r="J76" s="48">
        <v>514.5</v>
      </c>
      <c r="K76" s="54">
        <v>82</v>
      </c>
      <c r="L76" s="25" t="str">
        <f>HYPERLINK("http://pirotehnika-optom.ru/6-fontany-optom/2196-svadebnyj.html","Просмотр")</f>
        <v>0</v>
      </c>
    </row>
    <row r="77" spans="1:12" customHeight="1" ht="11.25">
      <c r="A77" s="43">
        <v>62</v>
      </c>
      <c r="B77" s="44" t="s">
        <v>37</v>
      </c>
      <c r="C77" s="45" t="s">
        <v>37</v>
      </c>
      <c r="D77" s="43" t="s">
        <v>175</v>
      </c>
      <c r="E77" s="45" t="s">
        <v>176</v>
      </c>
      <c r="F77" s="46" t="s">
        <v>67</v>
      </c>
      <c r="G77" s="46" t="s">
        <v>37</v>
      </c>
      <c r="H77" s="46">
        <v>40</v>
      </c>
      <c r="I77" s="47">
        <v>656.25</v>
      </c>
      <c r="J77" s="48">
        <v>656.25</v>
      </c>
      <c r="K77" s="54">
        <v>23</v>
      </c>
      <c r="L77" s="25" t="str">
        <f>HYPERLINK("http://pirotehnika-optom.ru/6-fontany-optom/5373-buket-fialok.html","Просмотр")</f>
        <v>0</v>
      </c>
    </row>
    <row r="78" spans="1:12" customHeight="1" ht="11.25">
      <c r="A78" s="43">
        <v>63</v>
      </c>
      <c r="B78" s="44" t="s">
        <v>37</v>
      </c>
      <c r="C78" s="45" t="s">
        <v>37</v>
      </c>
      <c r="D78" s="43" t="s">
        <v>177</v>
      </c>
      <c r="E78" s="45" t="s">
        <v>178</v>
      </c>
      <c r="F78" s="46" t="s">
        <v>67</v>
      </c>
      <c r="G78" s="46" t="s">
        <v>37</v>
      </c>
      <c r="H78" s="46">
        <v>20</v>
      </c>
      <c r="I78" s="47">
        <v>1417.5</v>
      </c>
      <c r="J78" s="48">
        <v>1417.5</v>
      </c>
      <c r="K78" s="54">
        <v>28</v>
      </c>
      <c r="L78" s="25" t="str">
        <f>HYPERLINK("http://pirotehnika-optom.ru/6-fontany-optom/5374-strely-kupidona.html","Просмотр")</f>
        <v>0</v>
      </c>
    </row>
    <row r="79" spans="1:12" customHeight="1" ht="11.25">
      <c r="A79" s="43">
        <v>64</v>
      </c>
      <c r="B79" s="44" t="s">
        <v>37</v>
      </c>
      <c r="C79" s="45" t="s">
        <v>37</v>
      </c>
      <c r="D79" s="43" t="s">
        <v>179</v>
      </c>
      <c r="E79" s="45" t="s">
        <v>180</v>
      </c>
      <c r="F79" s="46" t="s">
        <v>67</v>
      </c>
      <c r="G79" s="46" t="s">
        <v>37</v>
      </c>
      <c r="H79" s="46">
        <v>24</v>
      </c>
      <c r="I79" s="47">
        <v>1417.5</v>
      </c>
      <c r="J79" s="48">
        <v>1417.5</v>
      </c>
      <c r="K79" s="54">
        <v>3</v>
      </c>
      <c r="L79" s="25" t="str">
        <f>HYPERLINK("http://pirotehnika-optom.ru/6-fontany-optom/1196-mir-dlya-dvoikh.html","Просмотр")</f>
        <v>0</v>
      </c>
    </row>
    <row r="80" spans="1:12" customHeight="1" ht="11.25">
      <c r="A80" s="43">
        <v>65</v>
      </c>
      <c r="B80" s="44" t="s">
        <v>37</v>
      </c>
      <c r="C80" s="45" t="s">
        <v>84</v>
      </c>
      <c r="D80" s="43" t="s">
        <v>181</v>
      </c>
      <c r="E80" s="45" t="s">
        <v>182</v>
      </c>
      <c r="F80" s="46" t="s">
        <v>67</v>
      </c>
      <c r="G80" s="46" t="s">
        <v>37</v>
      </c>
      <c r="H80" s="46">
        <v>100</v>
      </c>
      <c r="I80" s="47">
        <v>409.5</v>
      </c>
      <c r="J80" s="48">
        <v>409.5</v>
      </c>
      <c r="K80" s="54">
        <v>88</v>
      </c>
      <c r="L80" s="25" t="str">
        <f>HYPERLINK("http://pirotehnika-optom.ru/6-fontany-optom/6275-fontan-ruchnoj.html","Просмотр")</f>
        <v>0</v>
      </c>
    </row>
    <row r="81" spans="1:12" customHeight="1" ht="11.25">
      <c r="A81" s="43">
        <v>66</v>
      </c>
      <c r="B81" s="44" t="s">
        <v>37</v>
      </c>
      <c r="C81" s="45" t="s">
        <v>37</v>
      </c>
      <c r="D81" s="43" t="s">
        <v>183</v>
      </c>
      <c r="E81" s="45" t="s">
        <v>184</v>
      </c>
      <c r="F81" s="46" t="s">
        <v>36</v>
      </c>
      <c r="G81" s="46">
        <v>3</v>
      </c>
      <c r="H81" s="46">
        <v>30</v>
      </c>
      <c r="I81" s="47">
        <v>1366.05</v>
      </c>
      <c r="J81" s="48">
        <v>455.35</v>
      </c>
      <c r="K81" s="54">
        <v>10</v>
      </c>
      <c r="L81" s="25" t="str">
        <f>HYPERLINK("http://pirotehnika-optom.ru/6-fontany-optom/6276-fontan-ruchnoj.html","Просмотр")</f>
        <v>0</v>
      </c>
    </row>
    <row r="82" spans="1:12" customHeight="1" ht="11.25">
      <c r="A82" s="43">
        <v>67</v>
      </c>
      <c r="B82" s="44" t="s">
        <v>37</v>
      </c>
      <c r="C82" s="45" t="s">
        <v>37</v>
      </c>
      <c r="D82" s="43" t="s">
        <v>185</v>
      </c>
      <c r="E82" s="45" t="s">
        <v>186</v>
      </c>
      <c r="F82" s="46" t="s">
        <v>50</v>
      </c>
      <c r="G82" s="46" t="s">
        <v>187</v>
      </c>
      <c r="H82" s="46">
        <v>4</v>
      </c>
      <c r="I82" s="47">
        <v>7796.25</v>
      </c>
      <c r="J82" s="48">
        <v>1949.06</v>
      </c>
      <c r="K82" s="54">
        <v>29</v>
      </c>
      <c r="L82" s="25" t="str">
        <f>HYPERLINK("http://pirotehnika-optom.ru/6-fontany-optom/5945-mf-001-fontanna-tortowa-5945.html","Просмотр")</f>
        <v>0</v>
      </c>
    </row>
    <row r="83" spans="1:12" customHeight="1" ht="11.25">
      <c r="A83" s="43">
        <v>68</v>
      </c>
      <c r="B83" s="44" t="s">
        <v>37</v>
      </c>
      <c r="C83" s="45" t="s">
        <v>37</v>
      </c>
      <c r="D83" s="43" t="s">
        <v>188</v>
      </c>
      <c r="E83" s="45" t="s">
        <v>189</v>
      </c>
      <c r="F83" s="46" t="s">
        <v>36</v>
      </c>
      <c r="G83" s="46">
        <v>4</v>
      </c>
      <c r="H83" s="46">
        <v>180</v>
      </c>
      <c r="I83" s="47">
        <v>218.4</v>
      </c>
      <c r="J83" s="48">
        <v>54.6</v>
      </c>
      <c r="K83" s="54">
        <v>369</v>
      </c>
      <c r="L83" s="25" t="str">
        <f>HYPERLINK("http://pirotehnika-optom.ru/6-fontany-optom/5922-ice-fountain-10-sm-5922.html","Просмотр")</f>
        <v>0</v>
      </c>
    </row>
    <row r="84" spans="1:12" customHeight="1" ht="11.25">
      <c r="A84" s="43">
        <v>69</v>
      </c>
      <c r="B84" s="44" t="s">
        <v>37</v>
      </c>
      <c r="C84" s="45" t="s">
        <v>37</v>
      </c>
      <c r="D84" s="43" t="s">
        <v>190</v>
      </c>
      <c r="E84" s="45" t="s">
        <v>191</v>
      </c>
      <c r="F84" s="46" t="s">
        <v>36</v>
      </c>
      <c r="G84" s="46">
        <v>40</v>
      </c>
      <c r="H84" s="46">
        <v>24</v>
      </c>
      <c r="I84" s="47">
        <v>1276.8</v>
      </c>
      <c r="J84" s="48">
        <v>31.92</v>
      </c>
      <c r="K84" s="54">
        <v>268</v>
      </c>
      <c r="L84" s="25" t="str">
        <f>HYPERLINK("http://pirotehnika-optom.ru/6-fontany-optom/3816-cakes-fountain.html","Просмотр")</f>
        <v>0</v>
      </c>
    </row>
    <row r="85" spans="1:12" customHeight="1" ht="11.25">
      <c r="A85" s="43">
        <v>70</v>
      </c>
      <c r="B85" s="44" t="s">
        <v>192</v>
      </c>
      <c r="C85" s="45" t="s">
        <v>33</v>
      </c>
      <c r="D85" s="43" t="s">
        <v>193</v>
      </c>
      <c r="E85" s="45" t="s">
        <v>194</v>
      </c>
      <c r="F85" s="46" t="s">
        <v>36</v>
      </c>
      <c r="G85" s="46">
        <v>4</v>
      </c>
      <c r="H85" s="46">
        <v>36</v>
      </c>
      <c r="I85" s="47">
        <v>777</v>
      </c>
      <c r="J85" s="48">
        <v>194.25</v>
      </c>
      <c r="K85" s="54">
        <v>6</v>
      </c>
      <c r="L85" s="25" t="str">
        <f>HYPERLINK("http://pirotehnika-optom.ru/7-rimskie-svechi-optom/1850-vyuga-06-kh-8.html","Просмотр")</f>
        <v>0</v>
      </c>
    </row>
    <row r="86" spans="1:12" customHeight="1" ht="11.25">
      <c r="A86" s="43">
        <v>71</v>
      </c>
      <c r="B86" s="44" t="s">
        <v>37</v>
      </c>
      <c r="C86" s="45" t="s">
        <v>37</v>
      </c>
      <c r="D86" s="43" t="s">
        <v>195</v>
      </c>
      <c r="E86" s="45" t="s">
        <v>196</v>
      </c>
      <c r="F86" s="46" t="s">
        <v>36</v>
      </c>
      <c r="G86" s="46">
        <v>4</v>
      </c>
      <c r="H86" s="46">
        <v>36</v>
      </c>
      <c r="I86" s="47">
        <v>714</v>
      </c>
      <c r="J86" s="48">
        <v>178.5</v>
      </c>
      <c r="K86" s="54">
        <v>27</v>
      </c>
      <c r="L86" s="25" t="str">
        <f>HYPERLINK("http://pirotehnika-optom.ru/7-rimskie-svechi-optom/1851-sakura.html","Просмотр")</f>
        <v>0</v>
      </c>
    </row>
    <row r="87" spans="1:12" customHeight="1" ht="11.25">
      <c r="A87" s="43">
        <v>72</v>
      </c>
      <c r="B87" s="44" t="s">
        <v>37</v>
      </c>
      <c r="C87" s="45" t="s">
        <v>37</v>
      </c>
      <c r="D87" s="43" t="s">
        <v>197</v>
      </c>
      <c r="E87" s="45" t="s">
        <v>198</v>
      </c>
      <c r="F87" s="46" t="s">
        <v>36</v>
      </c>
      <c r="G87" s="46">
        <v>4</v>
      </c>
      <c r="H87" s="46">
        <v>36</v>
      </c>
      <c r="I87" s="47">
        <v>588</v>
      </c>
      <c r="J87" s="48">
        <v>147</v>
      </c>
      <c r="K87" s="54">
        <v>23</v>
      </c>
      <c r="L87" s="25" t="str">
        <f>HYPERLINK("http://pirotehnika-optom.ru/7-rimskie-svechi-optom/1852-egoza.html","Просмотр")</f>
        <v>0</v>
      </c>
    </row>
    <row r="88" spans="1:12" customHeight="1" ht="11.25">
      <c r="A88" s="43">
        <v>73</v>
      </c>
      <c r="B88" s="44" t="s">
        <v>37</v>
      </c>
      <c r="C88" s="45" t="s">
        <v>37</v>
      </c>
      <c r="D88" s="43" t="s">
        <v>199</v>
      </c>
      <c r="E88" s="45" t="s">
        <v>200</v>
      </c>
      <c r="F88" s="46" t="s">
        <v>67</v>
      </c>
      <c r="G88" s="46" t="s">
        <v>37</v>
      </c>
      <c r="H88" s="46">
        <v>18</v>
      </c>
      <c r="I88" s="47">
        <v>1942.5</v>
      </c>
      <c r="J88" s="48">
        <v>1942.5</v>
      </c>
      <c r="K88" s="54">
        <v>8</v>
      </c>
      <c r="L88" s="25" t="str">
        <f>HYPERLINK("http://pirotehnika-optom.ru/7-rimskie-svechi-optom/701-altair-15kh-8-novyj-effekt.html","Просмотр")</f>
        <v>0</v>
      </c>
    </row>
    <row r="89" spans="1:12" customHeight="1" ht="11.25">
      <c r="A89" s="43">
        <v>74</v>
      </c>
      <c r="B89" s="44" t="s">
        <v>37</v>
      </c>
      <c r="C89" s="45" t="s">
        <v>37</v>
      </c>
      <c r="D89" s="43" t="s">
        <v>201</v>
      </c>
      <c r="E89" s="45" t="s">
        <v>202</v>
      </c>
      <c r="F89" s="46" t="s">
        <v>67</v>
      </c>
      <c r="G89" s="46" t="s">
        <v>37</v>
      </c>
      <c r="H89" s="46">
        <v>20</v>
      </c>
      <c r="I89" s="47">
        <v>1879.5</v>
      </c>
      <c r="J89" s="48">
        <v>1879.5</v>
      </c>
      <c r="K89" s="54">
        <v>7</v>
      </c>
      <c r="L89" s="25" t="str">
        <f>HYPERLINK("http://pirotehnika-optom.ru/7-rimskie-svechi-optom/3015-bazuka-08-x-24-1-20-1.html","Просмотр")</f>
        <v>0</v>
      </c>
    </row>
    <row r="90" spans="1:12" customHeight="1" ht="11.25">
      <c r="A90" s="43">
        <v>75</v>
      </c>
      <c r="B90" s="44" t="s">
        <v>37</v>
      </c>
      <c r="C90" s="45" t="s">
        <v>64</v>
      </c>
      <c r="D90" s="43" t="s">
        <v>203</v>
      </c>
      <c r="E90" s="45" t="s">
        <v>204</v>
      </c>
      <c r="F90" s="46" t="s">
        <v>67</v>
      </c>
      <c r="G90" s="46" t="s">
        <v>37</v>
      </c>
      <c r="H90" s="46">
        <v>12</v>
      </c>
      <c r="I90" s="47">
        <v>4026.75</v>
      </c>
      <c r="J90" s="48">
        <v>4026.75</v>
      </c>
      <c r="K90" s="54">
        <v>2</v>
      </c>
      <c r="L90" s="25" t="str">
        <f>HYPERLINK("http://pirotehnika-optom.ru/7-rimskie-svechi-optom/5157-svyazka-rimskijkh-svechej-rpo-shmel03x320.html","Просмотр")</f>
        <v>0</v>
      </c>
    </row>
    <row r="91" spans="1:12" customHeight="1" ht="11.25">
      <c r="A91" s="43">
        <v>76</v>
      </c>
      <c r="B91" s="44" t="s">
        <v>37</v>
      </c>
      <c r="C91" s="45" t="s">
        <v>37</v>
      </c>
      <c r="D91" s="43" t="s">
        <v>205</v>
      </c>
      <c r="E91" s="45" t="s">
        <v>206</v>
      </c>
      <c r="F91" s="46" t="s">
        <v>67</v>
      </c>
      <c r="G91" s="46" t="s">
        <v>37</v>
      </c>
      <c r="H91" s="46">
        <v>9</v>
      </c>
      <c r="I91" s="47">
        <v>3013.5</v>
      </c>
      <c r="J91" s="48">
        <v>3013.5</v>
      </c>
      <c r="K91" s="54">
        <v>4</v>
      </c>
      <c r="L91" s="25" t="str">
        <f>HYPERLINK("http://pirotehnika-optom.ru/7-rimskie-svechi-optom/5160-svyazka-rimskikh-svechej-zrk-kub-03kh123.html","Просмотр")</f>
        <v>0</v>
      </c>
    </row>
    <row r="92" spans="1:12" customHeight="1" ht="11.25">
      <c r="A92" s="43">
        <v>77</v>
      </c>
      <c r="B92" s="44" t="s">
        <v>37</v>
      </c>
      <c r="C92" s="45" t="s">
        <v>84</v>
      </c>
      <c r="D92" s="43" t="s">
        <v>207</v>
      </c>
      <c r="E92" s="45" t="s">
        <v>208</v>
      </c>
      <c r="F92" s="46" t="s">
        <v>67</v>
      </c>
      <c r="G92" s="46" t="s">
        <v>37</v>
      </c>
      <c r="H92" s="46">
        <v>12</v>
      </c>
      <c r="I92" s="47">
        <v>2992.5</v>
      </c>
      <c r="J92" s="48">
        <v>2992.5</v>
      </c>
      <c r="K92" s="54">
        <v>2</v>
      </c>
      <c r="L92" s="25" t="str">
        <f>HYPERLINK("http://pirotehnika-optom.ru/7-rimskie-svechi-optom/5502-gatling04x380.html","Просмотр")</f>
        <v>0</v>
      </c>
    </row>
    <row r="93" spans="1:12" customHeight="1" ht="11.25">
      <c r="A93" s="43">
        <v>78</v>
      </c>
      <c r="B93" s="44" t="s">
        <v>209</v>
      </c>
      <c r="C93" s="45" t="s">
        <v>64</v>
      </c>
      <c r="D93" s="43" t="s">
        <v>210</v>
      </c>
      <c r="E93" s="45" t="s">
        <v>211</v>
      </c>
      <c r="F93" s="46" t="s">
        <v>36</v>
      </c>
      <c r="G93" s="46">
        <v>4</v>
      </c>
      <c r="H93" s="46">
        <v>10</v>
      </c>
      <c r="I93" s="47">
        <v>1323</v>
      </c>
      <c r="J93" s="48">
        <v>330.75</v>
      </c>
      <c r="K93" s="54">
        <v>1</v>
      </c>
      <c r="L93" s="25" t="str">
        <f>HYPERLINK("http://pirotehnika-optom.ru/8-festivalnye-shary-optom/5383-desant-14.html","Просмотр")</f>
        <v>0</v>
      </c>
    </row>
    <row r="94" spans="1:12" customHeight="1" ht="11.25">
      <c r="A94" s="43">
        <v>79</v>
      </c>
      <c r="B94" s="44" t="s">
        <v>37</v>
      </c>
      <c r="C94" s="45" t="s">
        <v>37</v>
      </c>
      <c r="D94" s="43" t="s">
        <v>212</v>
      </c>
      <c r="E94" s="45" t="s">
        <v>213</v>
      </c>
      <c r="F94" s="46" t="s">
        <v>36</v>
      </c>
      <c r="G94" s="46">
        <v>2</v>
      </c>
      <c r="H94" s="46">
        <v>18</v>
      </c>
      <c r="I94" s="47">
        <v>1323</v>
      </c>
      <c r="J94" s="48">
        <v>661.5</v>
      </c>
      <c r="K94" s="54">
        <v>5</v>
      </c>
      <c r="L94" s="25" t="str">
        <f>HYPERLINK("http://pirotehnika-optom.ru/8-festivalnye-shary-optom/5384-vdv-185.html","Просмотр")</f>
        <v>0</v>
      </c>
    </row>
    <row r="95" spans="1:12" customHeight="1" ht="11.25">
      <c r="A95" s="43">
        <v>80</v>
      </c>
      <c r="B95" s="44" t="s">
        <v>214</v>
      </c>
      <c r="C95" s="45" t="s">
        <v>33</v>
      </c>
      <c r="D95" s="43" t="s">
        <v>215</v>
      </c>
      <c r="E95" s="45" t="s">
        <v>216</v>
      </c>
      <c r="F95" s="46" t="s">
        <v>67</v>
      </c>
      <c r="G95" s="46" t="s">
        <v>37</v>
      </c>
      <c r="H95" s="46">
        <v>24</v>
      </c>
      <c r="I95" s="47">
        <v>1365</v>
      </c>
      <c r="J95" s="48">
        <v>1365</v>
      </c>
      <c r="K95" s="54">
        <v>18</v>
      </c>
      <c r="L95" s="25" t="str">
        <f>HYPERLINK("http://pirotehnika-optom.ru/9-batarei-salyutov-optom/1984-malibu-07kh-20-5-eff.html","Просмотр")</f>
        <v>0</v>
      </c>
    </row>
    <row r="96" spans="1:12" customHeight="1" ht="11.25">
      <c r="A96" s="43">
        <v>81</v>
      </c>
      <c r="B96" s="44" t="s">
        <v>37</v>
      </c>
      <c r="C96" s="45" t="s">
        <v>37</v>
      </c>
      <c r="D96" s="43" t="s">
        <v>217</v>
      </c>
      <c r="E96" s="45" t="s">
        <v>218</v>
      </c>
      <c r="F96" s="46" t="s">
        <v>67</v>
      </c>
      <c r="G96" s="46" t="s">
        <v>37</v>
      </c>
      <c r="H96" s="46">
        <v>1</v>
      </c>
      <c r="I96" s="47">
        <v>44100</v>
      </c>
      <c r="J96" s="48">
        <v>44100</v>
      </c>
      <c r="K96" s="54">
        <v>1</v>
      </c>
      <c r="L96" s="25" t="str">
        <f>HYPERLINK("http://pirotehnika-optom.ru/9-batarei-salyutov-optom/1820-ot-zakata-do-rassveta-08-125-2-kh-158.html","Просмотр")</f>
        <v>0</v>
      </c>
    </row>
    <row r="97" spans="1:12" customHeight="1" ht="11.25">
      <c r="A97" s="43">
        <v>82</v>
      </c>
      <c r="B97" s="44" t="s">
        <v>37</v>
      </c>
      <c r="C97" s="45" t="s">
        <v>64</v>
      </c>
      <c r="D97" s="43" t="s">
        <v>219</v>
      </c>
      <c r="E97" s="45" t="s">
        <v>220</v>
      </c>
      <c r="F97" s="46" t="s">
        <v>67</v>
      </c>
      <c r="G97" s="46" t="s">
        <v>37</v>
      </c>
      <c r="H97" s="46">
        <v>8</v>
      </c>
      <c r="I97" s="47">
        <v>3255</v>
      </c>
      <c r="J97" s="48">
        <v>3255</v>
      </c>
      <c r="K97" s="54">
        <v>9</v>
      </c>
      <c r="L97" s="25" t="str">
        <f>HYPERLINK("http://pirotehnika-optom.ru/9-batarei-salyutov-optom/6232-praga-08kh36.html","Просмотр")</f>
        <v>0</v>
      </c>
    </row>
    <row r="98" spans="1:12" customHeight="1" ht="11.25">
      <c r="A98" s="43">
        <v>83</v>
      </c>
      <c r="B98" s="44" t="s">
        <v>37</v>
      </c>
      <c r="C98" s="45" t="s">
        <v>37</v>
      </c>
      <c r="D98" s="43" t="s">
        <v>221</v>
      </c>
      <c r="E98" s="45" t="s">
        <v>222</v>
      </c>
      <c r="F98" s="46" t="s">
        <v>67</v>
      </c>
      <c r="G98" s="46" t="s">
        <v>37</v>
      </c>
      <c r="H98" s="46">
        <v>1</v>
      </c>
      <c r="I98" s="47">
        <v>13965</v>
      </c>
      <c r="J98" s="48">
        <v>13965</v>
      </c>
      <c r="K98" s="54">
        <v>3</v>
      </c>
      <c r="L98" s="25" t="str">
        <f>HYPERLINK("http://pirotehnika-optom.ru/9-batarei-salyutov-optom/6116-sensaciya-05kh600.html","Просмотр")</f>
        <v>0</v>
      </c>
    </row>
    <row r="99" spans="1:12" customHeight="1" ht="11.25">
      <c r="A99" s="43">
        <v>84</v>
      </c>
      <c r="B99" s="44" t="s">
        <v>37</v>
      </c>
      <c r="C99" s="45" t="s">
        <v>37</v>
      </c>
      <c r="D99" s="43" t="s">
        <v>223</v>
      </c>
      <c r="E99" s="45" t="s">
        <v>224</v>
      </c>
      <c r="F99" s="46" t="s">
        <v>67</v>
      </c>
      <c r="G99" s="46" t="s">
        <v>37</v>
      </c>
      <c r="H99" s="46">
        <v>1</v>
      </c>
      <c r="I99" s="47">
        <v>16590</v>
      </c>
      <c r="J99" s="48">
        <v>16590</v>
      </c>
      <c r="K99" s="54">
        <v>3</v>
      </c>
      <c r="L99" s="25" t="str">
        <f>HYPERLINK("http://pirotehnika-optom.ru/9-batarei-salyutov-optom/6098-premera-05kh800.html","Просмотр")</f>
        <v>0</v>
      </c>
    </row>
    <row r="100" spans="1:12" customHeight="1" ht="11.25">
      <c r="A100" s="43">
        <v>85</v>
      </c>
      <c r="B100" s="44" t="s">
        <v>37</v>
      </c>
      <c r="C100" s="45" t="s">
        <v>37</v>
      </c>
      <c r="D100" s="43" t="s">
        <v>225</v>
      </c>
      <c r="E100" s="45" t="s">
        <v>226</v>
      </c>
      <c r="F100" s="46" t="s">
        <v>67</v>
      </c>
      <c r="G100" s="46" t="s">
        <v>37</v>
      </c>
      <c r="H100" s="46">
        <v>18</v>
      </c>
      <c r="I100" s="47">
        <v>2341.5</v>
      </c>
      <c r="J100" s="48">
        <v>2341.5</v>
      </c>
      <c r="K100" s="54">
        <v>54</v>
      </c>
      <c r="L100" s="25" t="str">
        <f>HYPERLINK("http://pirotehnika-optom.ru/9-batarei-salyutov-optom/5294-zimnie-kanikuly-5294.html","Просмотр")</f>
        <v>0</v>
      </c>
    </row>
    <row r="101" spans="1:12" customHeight="1" ht="11.25">
      <c r="A101" s="43">
        <v>86</v>
      </c>
      <c r="B101" s="44" t="s">
        <v>37</v>
      </c>
      <c r="C101" s="45" t="s">
        <v>37</v>
      </c>
      <c r="D101" s="43" t="s">
        <v>227</v>
      </c>
      <c r="E101" s="45" t="s">
        <v>228</v>
      </c>
      <c r="F101" s="46" t="s">
        <v>67</v>
      </c>
      <c r="G101" s="46" t="s">
        <v>37</v>
      </c>
      <c r="H101" s="46">
        <v>18</v>
      </c>
      <c r="I101" s="47">
        <v>2230</v>
      </c>
      <c r="J101" s="48">
        <v>2230</v>
      </c>
      <c r="K101" s="54">
        <v>4</v>
      </c>
      <c r="L101" s="25" t="str">
        <f>HYPERLINK("http://pirotehnika-optom.ru/9-batarei-salyutov-optom/6547-tri-kota-06kh36.html","Просмотр")</f>
        <v>0</v>
      </c>
    </row>
    <row r="102" spans="1:12" customHeight="1" ht="11.25">
      <c r="A102" s="43">
        <v>87</v>
      </c>
      <c r="B102" s="44" t="s">
        <v>37</v>
      </c>
      <c r="C102" s="45" t="s">
        <v>37</v>
      </c>
      <c r="D102" s="43" t="s">
        <v>229</v>
      </c>
      <c r="E102" s="45" t="s">
        <v>230</v>
      </c>
      <c r="F102" s="46" t="s">
        <v>67</v>
      </c>
      <c r="G102" s="46" t="s">
        <v>37</v>
      </c>
      <c r="H102" s="46">
        <v>4</v>
      </c>
      <c r="I102" s="47">
        <v>9439.5</v>
      </c>
      <c r="J102" s="48">
        <v>9439.5</v>
      </c>
      <c r="K102" s="54">
        <v>12</v>
      </c>
      <c r="L102" s="25" t="str">
        <f>HYPERLINK("http://pirotehnika-optom.ru/9-batarei-salyutov-optom/6099-novogodnyaya-vecherinka-06kh168.html","Просмотр")</f>
        <v>0</v>
      </c>
    </row>
    <row r="103" spans="1:12" customHeight="1" ht="11.25">
      <c r="A103" s="43">
        <v>88</v>
      </c>
      <c r="B103" s="44" t="s">
        <v>37</v>
      </c>
      <c r="C103" s="45" t="s">
        <v>37</v>
      </c>
      <c r="D103" s="43" t="s">
        <v>231</v>
      </c>
      <c r="E103" s="45" t="s">
        <v>232</v>
      </c>
      <c r="F103" s="46" t="s">
        <v>67</v>
      </c>
      <c r="G103" s="46" t="s">
        <v>37</v>
      </c>
      <c r="H103" s="46">
        <v>40</v>
      </c>
      <c r="I103" s="47">
        <v>645.75</v>
      </c>
      <c r="J103" s="48">
        <v>645.75</v>
      </c>
      <c r="K103" s="54">
        <v>20</v>
      </c>
      <c r="L103" s="25" t="str">
        <f>HYPERLINK("http://pirotehnika-optom.ru/9-batarei-salyutov-optom/2327-piro-kvest.html","Просмотр")</f>
        <v>0</v>
      </c>
    </row>
    <row r="104" spans="1:12" customHeight="1" ht="11.25">
      <c r="A104" s="43">
        <v>89</v>
      </c>
      <c r="B104" s="44" t="s">
        <v>37</v>
      </c>
      <c r="C104" s="45" t="s">
        <v>37</v>
      </c>
      <c r="D104" s="43" t="s">
        <v>233</v>
      </c>
      <c r="E104" s="45" t="s">
        <v>234</v>
      </c>
      <c r="F104" s="46" t="s">
        <v>67</v>
      </c>
      <c r="G104" s="46" t="s">
        <v>37</v>
      </c>
      <c r="H104" s="46">
        <v>40</v>
      </c>
      <c r="I104" s="47">
        <v>803.25</v>
      </c>
      <c r="J104" s="48">
        <v>803.25</v>
      </c>
      <c r="K104" s="54">
        <v>22</v>
      </c>
      <c r="L104" s="25" t="str">
        <f>HYPERLINK("http://pirotehnika-optom.ru/9-batarei-salyutov-optom/2521-veselyj-pirotekhnik.html","Просмотр")</f>
        <v>0</v>
      </c>
    </row>
    <row r="105" spans="1:12" customHeight="1" ht="11.25">
      <c r="A105" s="43">
        <v>90</v>
      </c>
      <c r="B105" s="44" t="s">
        <v>37</v>
      </c>
      <c r="C105" s="45" t="s">
        <v>37</v>
      </c>
      <c r="D105" s="43" t="s">
        <v>235</v>
      </c>
      <c r="E105" s="45" t="s">
        <v>236</v>
      </c>
      <c r="F105" s="46" t="s">
        <v>67</v>
      </c>
      <c r="G105" s="46" t="s">
        <v>37</v>
      </c>
      <c r="H105" s="46">
        <v>24</v>
      </c>
      <c r="I105" s="47">
        <v>1386</v>
      </c>
      <c r="J105" s="48">
        <v>1386</v>
      </c>
      <c r="K105" s="54">
        <v>1</v>
      </c>
      <c r="L105" s="25" t="str">
        <f>HYPERLINK("http://pirotehnika-optom.ru/9-batarei-salyutov-optom/2653-snegurochka.html","Просмотр")</f>
        <v>0</v>
      </c>
    </row>
    <row r="106" spans="1:12" customHeight="1" ht="11.25">
      <c r="A106" s="43">
        <v>91</v>
      </c>
      <c r="B106" s="44" t="s">
        <v>37</v>
      </c>
      <c r="C106" s="45" t="s">
        <v>37</v>
      </c>
      <c r="D106" s="43" t="s">
        <v>237</v>
      </c>
      <c r="E106" s="45" t="s">
        <v>238</v>
      </c>
      <c r="F106" s="46" t="s">
        <v>67</v>
      </c>
      <c r="G106" s="46" t="s">
        <v>37</v>
      </c>
      <c r="H106" s="46">
        <v>24</v>
      </c>
      <c r="I106" s="47">
        <v>1386</v>
      </c>
      <c r="J106" s="48">
        <v>1386</v>
      </c>
      <c r="K106" s="54">
        <v>69</v>
      </c>
      <c r="L106" s="25" t="str">
        <f>HYPERLINK("http://pirotehnika-optom.ru/9-batarei-salyutov-optom/1263-ritm-zhizni-08kh-16-modul.html","Просмотр")</f>
        <v>0</v>
      </c>
    </row>
    <row r="107" spans="1:12" customHeight="1" ht="11.25">
      <c r="A107" s="43">
        <v>92</v>
      </c>
      <c r="B107" s="44" t="s">
        <v>37</v>
      </c>
      <c r="C107" s="45" t="s">
        <v>37</v>
      </c>
      <c r="D107" s="43" t="s">
        <v>239</v>
      </c>
      <c r="E107" s="45" t="s">
        <v>240</v>
      </c>
      <c r="F107" s="46" t="s">
        <v>67</v>
      </c>
      <c r="G107" s="46" t="s">
        <v>37</v>
      </c>
      <c r="H107" s="46">
        <v>18</v>
      </c>
      <c r="I107" s="47">
        <v>1669.5</v>
      </c>
      <c r="J107" s="48">
        <v>1669.5</v>
      </c>
      <c r="K107" s="54">
        <v>375</v>
      </c>
      <c r="L107" s="25" t="str">
        <f>HYPERLINK("http://pirotehnika-optom.ru/9-batarei-salyutov-optom/5292-fifochka-08kh19.html","Просмотр")</f>
        <v>0</v>
      </c>
    </row>
    <row r="108" spans="1:12" customHeight="1" ht="11.25">
      <c r="A108" s="43">
        <v>93</v>
      </c>
      <c r="B108" s="44" t="s">
        <v>37</v>
      </c>
      <c r="C108" s="45" t="s">
        <v>37</v>
      </c>
      <c r="D108" s="43" t="s">
        <v>241</v>
      </c>
      <c r="E108" s="45" t="s">
        <v>242</v>
      </c>
      <c r="F108" s="46" t="s">
        <v>67</v>
      </c>
      <c r="G108" s="46" t="s">
        <v>37</v>
      </c>
      <c r="H108" s="46">
        <v>12</v>
      </c>
      <c r="I108" s="47">
        <v>1879.5</v>
      </c>
      <c r="J108" s="48">
        <v>1879.5</v>
      </c>
      <c r="K108" s="54">
        <v>33</v>
      </c>
      <c r="L108" s="25" t="str">
        <f>HYPERLINK("http://pirotehnika-optom.ru/9-batarei-salyutov-optom/5347-zimovyonok-kuzya-09kh20.html","Просмотр")</f>
        <v>0</v>
      </c>
    </row>
    <row r="109" spans="1:12" customHeight="1" ht="11.25">
      <c r="A109" s="43">
        <v>94</v>
      </c>
      <c r="B109" s="44" t="s">
        <v>37</v>
      </c>
      <c r="C109" s="45" t="s">
        <v>37</v>
      </c>
      <c r="D109" s="43" t="s">
        <v>243</v>
      </c>
      <c r="E109" s="45" t="s">
        <v>244</v>
      </c>
      <c r="F109" s="46" t="s">
        <v>67</v>
      </c>
      <c r="G109" s="46" t="s">
        <v>37</v>
      </c>
      <c r="H109" s="46">
        <v>9</v>
      </c>
      <c r="I109" s="47">
        <v>2362.5</v>
      </c>
      <c r="J109" s="48">
        <v>2362.5</v>
      </c>
      <c r="K109" s="54">
        <v>6</v>
      </c>
      <c r="L109" s="25" t="str">
        <f>HYPERLINK("http://pirotehnika-optom.ru/9-batarei-salyutov-optom/6262-dayosh-molodyozh-08kh25.html","Просмотр")</f>
        <v>0</v>
      </c>
    </row>
    <row r="110" spans="1:12" customHeight="1" ht="11.25">
      <c r="A110" s="43">
        <v>95</v>
      </c>
      <c r="B110" s="44" t="s">
        <v>37</v>
      </c>
      <c r="C110" s="45" t="s">
        <v>37</v>
      </c>
      <c r="D110" s="43" t="s">
        <v>245</v>
      </c>
      <c r="E110" s="45" t="s">
        <v>246</v>
      </c>
      <c r="F110" s="46" t="s">
        <v>67</v>
      </c>
      <c r="G110" s="46" t="s">
        <v>37</v>
      </c>
      <c r="H110" s="46">
        <v>12</v>
      </c>
      <c r="I110" s="47">
        <v>2362.5</v>
      </c>
      <c r="J110" s="48">
        <v>2362.5</v>
      </c>
      <c r="K110" s="54">
        <v>2</v>
      </c>
      <c r="L110" s="25" t="str">
        <f>HYPERLINK("http://pirotehnika-optom.ru/9-batarei-salyutov-optom/4880-yunyj-dedmorozovec09x25.html","Просмотр")</f>
        <v>0</v>
      </c>
    </row>
    <row r="111" spans="1:12" customHeight="1" ht="11.25">
      <c r="A111" s="43">
        <v>96</v>
      </c>
      <c r="B111" s="44" t="s">
        <v>37</v>
      </c>
      <c r="C111" s="45" t="s">
        <v>37</v>
      </c>
      <c r="D111" s="43" t="s">
        <v>247</v>
      </c>
      <c r="E111" s="45" t="s">
        <v>248</v>
      </c>
      <c r="F111" s="46" t="s">
        <v>67</v>
      </c>
      <c r="G111" s="46" t="s">
        <v>37</v>
      </c>
      <c r="H111" s="46">
        <v>4</v>
      </c>
      <c r="I111" s="47">
        <v>8079.75</v>
      </c>
      <c r="J111" s="48">
        <v>8079.75</v>
      </c>
      <c r="K111" s="54">
        <v>14</v>
      </c>
      <c r="L111" s="25" t="str">
        <f>HYPERLINK("http://pirotehnika-optom.ru/9-batarei-salyutov-optom/2679-novogodnyaya-sotochka-08-kh-100.html","Просмотр")</f>
        <v>0</v>
      </c>
    </row>
    <row r="112" spans="1:12" customHeight="1" ht="11.25">
      <c r="A112" s="43">
        <v>97</v>
      </c>
      <c r="B112" s="44" t="s">
        <v>37</v>
      </c>
      <c r="C112" s="45" t="s">
        <v>37</v>
      </c>
      <c r="D112" s="43" t="s">
        <v>249</v>
      </c>
      <c r="E112" s="45" t="s">
        <v>250</v>
      </c>
      <c r="F112" s="46" t="s">
        <v>67</v>
      </c>
      <c r="G112" s="46" t="s">
        <v>37</v>
      </c>
      <c r="H112" s="46">
        <v>4</v>
      </c>
      <c r="I112" s="47">
        <v>7695</v>
      </c>
      <c r="J112" s="48">
        <v>7695</v>
      </c>
      <c r="K112" s="54">
        <v>24</v>
      </c>
      <c r="L112" s="25" t="str">
        <f>HYPERLINK("http://pirotehnika-optom.ru/9-batarei-salyutov-optom/6554-tarif-novogodnij-08kh100.html","Просмотр")</f>
        <v>0</v>
      </c>
    </row>
    <row r="113" spans="1:12" customHeight="1" ht="11.25">
      <c r="A113" s="43">
        <v>98</v>
      </c>
      <c r="B113" s="44" t="s">
        <v>37</v>
      </c>
      <c r="C113" s="45" t="s">
        <v>37</v>
      </c>
      <c r="D113" s="43" t="s">
        <v>251</v>
      </c>
      <c r="E113" s="45" t="s">
        <v>252</v>
      </c>
      <c r="F113" s="46" t="s">
        <v>67</v>
      </c>
      <c r="G113" s="46" t="s">
        <v>37</v>
      </c>
      <c r="H113" s="46">
        <v>4</v>
      </c>
      <c r="I113" s="47">
        <v>9035.25</v>
      </c>
      <c r="J113" s="48">
        <v>9035.25</v>
      </c>
      <c r="K113" s="54">
        <v>8</v>
      </c>
      <c r="L113" s="25" t="str">
        <f>HYPERLINK("http://pirotehnika-optom.ru/9-batarei-salyutov-optom/4386-rozhdestvenskij08kh100.html","Просмотр")</f>
        <v>0</v>
      </c>
    </row>
    <row r="114" spans="1:12" customHeight="1" ht="11.25">
      <c r="A114" s="43">
        <v>99</v>
      </c>
      <c r="B114" s="44" t="s">
        <v>37</v>
      </c>
      <c r="C114" s="45" t="s">
        <v>37</v>
      </c>
      <c r="D114" s="43" t="s">
        <v>253</v>
      </c>
      <c r="E114" s="45" t="s">
        <v>254</v>
      </c>
      <c r="F114" s="46" t="s">
        <v>67</v>
      </c>
      <c r="G114" s="46" t="s">
        <v>37</v>
      </c>
      <c r="H114" s="46">
        <v>1</v>
      </c>
      <c r="I114" s="47">
        <v>22039.5</v>
      </c>
      <c r="J114" s="48">
        <v>22039.5</v>
      </c>
      <c r="K114" s="54">
        <v>3</v>
      </c>
      <c r="L114" s="25" t="str">
        <f>HYPERLINK("http://pirotehnika-optom.ru/9-batarei-salyutov-optom/5142-million-lajkov-08kh200.html","Просмотр")</f>
        <v>0</v>
      </c>
    </row>
    <row r="115" spans="1:12" customHeight="1" ht="11.25">
      <c r="A115" s="43">
        <v>100</v>
      </c>
      <c r="B115" s="44" t="s">
        <v>37</v>
      </c>
      <c r="C115" s="45" t="s">
        <v>37</v>
      </c>
      <c r="D115" s="43" t="s">
        <v>255</v>
      </c>
      <c r="E115" s="45" t="s">
        <v>256</v>
      </c>
      <c r="F115" s="46" t="s">
        <v>67</v>
      </c>
      <c r="G115" s="46" t="s">
        <v>37</v>
      </c>
      <c r="H115" s="46">
        <v>1</v>
      </c>
      <c r="I115" s="47">
        <v>53760</v>
      </c>
      <c r="J115" s="48">
        <v>53760</v>
      </c>
      <c r="K115" s="54">
        <v>6</v>
      </c>
      <c r="L115" s="25" t="str">
        <f>HYPERLINK("http://pirotehnika-optom.ru/9-batarei-salyutov-optom/5132-krasota-s-garantiej-08kh450.html","Просмотр")</f>
        <v>0</v>
      </c>
    </row>
    <row r="116" spans="1:12" customHeight="1" ht="11.25">
      <c r="A116" s="43">
        <v>101</v>
      </c>
      <c r="B116" s="44" t="s">
        <v>37</v>
      </c>
      <c r="C116" s="45" t="s">
        <v>37</v>
      </c>
      <c r="D116" s="43" t="s">
        <v>257</v>
      </c>
      <c r="E116" s="45" t="s">
        <v>258</v>
      </c>
      <c r="F116" s="46" t="s">
        <v>67</v>
      </c>
      <c r="G116" s="46" t="s">
        <v>37</v>
      </c>
      <c r="H116" s="46">
        <v>12</v>
      </c>
      <c r="I116" s="47">
        <v>2425.5</v>
      </c>
      <c r="J116" s="48">
        <v>2425.5</v>
      </c>
      <c r="K116" s="54">
        <v>135</v>
      </c>
      <c r="L116" s="25" t="str">
        <f>HYPERLINK("http://pirotehnika-optom.ru/9-batarei-salyutov-optom/2682-upsuzhasno-prikolnyj-salyut-11-kh-19.html","Просмотр")</f>
        <v>0</v>
      </c>
    </row>
    <row r="117" spans="1:12" customHeight="1" ht="11.25">
      <c r="A117" s="43">
        <v>102</v>
      </c>
      <c r="B117" s="44" t="s">
        <v>37</v>
      </c>
      <c r="C117" s="45" t="s">
        <v>37</v>
      </c>
      <c r="D117" s="43" t="s">
        <v>259</v>
      </c>
      <c r="E117" s="45" t="s">
        <v>260</v>
      </c>
      <c r="F117" s="46" t="s">
        <v>67</v>
      </c>
      <c r="G117" s="46" t="s">
        <v>37</v>
      </c>
      <c r="H117" s="46">
        <v>1</v>
      </c>
      <c r="I117" s="47">
        <v>14647.5</v>
      </c>
      <c r="J117" s="48">
        <v>14647.5</v>
      </c>
      <c r="K117" s="54">
        <v>4</v>
      </c>
      <c r="L117" s="25" t="str">
        <f>HYPERLINK("http://pirotehnika-optom.ru/9-batarei-salyutov-optom/5461-russkie-vityazi-10kh80.html","Просмотр")</f>
        <v>0</v>
      </c>
    </row>
    <row r="118" spans="1:12" customHeight="1" ht="11.25">
      <c r="A118" s="43">
        <v>104</v>
      </c>
      <c r="B118" s="44" t="s">
        <v>37</v>
      </c>
      <c r="C118" s="45" t="s">
        <v>37</v>
      </c>
      <c r="D118" s="43" t="s">
        <v>261</v>
      </c>
      <c r="E118" s="45" t="s">
        <v>262</v>
      </c>
      <c r="F118" s="46" t="s">
        <v>67</v>
      </c>
      <c r="G118" s="46" t="s">
        <v>37</v>
      </c>
      <c r="H118" s="46">
        <v>1</v>
      </c>
      <c r="I118" s="47">
        <v>17500</v>
      </c>
      <c r="J118" s="48">
        <v>17500</v>
      </c>
      <c r="K118" s="54">
        <v>8</v>
      </c>
      <c r="L118" s="25" t="str">
        <f>HYPERLINK("http://pirotehnika-optom.ru/9-batarei-salyutov-optom/6556-chudo-novogodnego-salyuta-11kh99.html","Просмотр")</f>
        <v>0</v>
      </c>
    </row>
    <row r="119" spans="1:12" customHeight="1" ht="11.25">
      <c r="A119" s="43">
        <v>105</v>
      </c>
      <c r="B119" s="44" t="s">
        <v>37</v>
      </c>
      <c r="C119" s="45" t="s">
        <v>37</v>
      </c>
      <c r="D119" s="43" t="s">
        <v>263</v>
      </c>
      <c r="E119" s="45" t="s">
        <v>264</v>
      </c>
      <c r="F119" s="46" t="s">
        <v>67</v>
      </c>
      <c r="G119" s="46" t="s">
        <v>37</v>
      </c>
      <c r="H119" s="46">
        <v>1</v>
      </c>
      <c r="I119" s="47">
        <v>17500</v>
      </c>
      <c r="J119" s="48">
        <v>17500</v>
      </c>
      <c r="K119" s="54">
        <v>8</v>
      </c>
      <c r="L119" s="25" t="str">
        <f>HYPERLINK("http://pirotehnika-optom.ru/9-batarei-salyutov-optom/6557-pust-budet-sshedrym-novyj-god11kh99.html","Просмотр")</f>
        <v>0</v>
      </c>
    </row>
    <row r="120" spans="1:12" customHeight="1" ht="11.25">
      <c r="A120" s="43">
        <v>106</v>
      </c>
      <c r="B120" s="44" t="s">
        <v>37</v>
      </c>
      <c r="C120" s="45" t="s">
        <v>37</v>
      </c>
      <c r="D120" s="43" t="s">
        <v>265</v>
      </c>
      <c r="E120" s="45" t="s">
        <v>266</v>
      </c>
      <c r="F120" s="46" t="s">
        <v>67</v>
      </c>
      <c r="G120" s="46" t="s">
        <v>37</v>
      </c>
      <c r="H120" s="46">
        <v>8</v>
      </c>
      <c r="I120" s="47">
        <v>3139.5</v>
      </c>
      <c r="J120" s="48">
        <v>3139.5</v>
      </c>
      <c r="K120" s="54">
        <v>7</v>
      </c>
      <c r="L120" s="25" t="str">
        <f>HYPERLINK("http://pirotehnika-optom.ru/9-batarei-salyutov-optom/5180-russkie-gonki-125-kh-12.html","Просмотр")</f>
        <v>0</v>
      </c>
    </row>
    <row r="121" spans="1:12" customHeight="1" ht="11.25">
      <c r="A121" s="43">
        <v>107</v>
      </c>
      <c r="B121" s="44" t="s">
        <v>37</v>
      </c>
      <c r="C121" s="45" t="s">
        <v>37</v>
      </c>
      <c r="D121" s="43" t="s">
        <v>267</v>
      </c>
      <c r="E121" s="45" t="s">
        <v>268</v>
      </c>
      <c r="F121" s="46" t="s">
        <v>67</v>
      </c>
      <c r="G121" s="46" t="s">
        <v>37</v>
      </c>
      <c r="H121" s="46">
        <v>4</v>
      </c>
      <c r="I121" s="47">
        <v>6714.75</v>
      </c>
      <c r="J121" s="48">
        <v>6714.75</v>
      </c>
      <c r="K121" s="54">
        <v>3</v>
      </c>
      <c r="L121" s="25" t="str">
        <f>HYPERLINK("http://pirotehnika-optom.ru/9-batarei-salyutov-optom/2759-russkaya-okhota-125-kh-36.html","Просмотр")</f>
        <v>0</v>
      </c>
    </row>
    <row r="122" spans="1:12" customHeight="1" ht="11.25">
      <c r="A122" s="43">
        <v>108</v>
      </c>
      <c r="B122" s="44" t="s">
        <v>37</v>
      </c>
      <c r="C122" s="45" t="s">
        <v>37</v>
      </c>
      <c r="D122" s="43" t="s">
        <v>269</v>
      </c>
      <c r="E122" s="45" t="s">
        <v>270</v>
      </c>
      <c r="F122" s="46" t="s">
        <v>67</v>
      </c>
      <c r="G122" s="46" t="s">
        <v>37</v>
      </c>
      <c r="H122" s="46">
        <v>4</v>
      </c>
      <c r="I122" s="47">
        <v>6714.75</v>
      </c>
      <c r="J122" s="48">
        <v>6714.75</v>
      </c>
      <c r="K122" s="54">
        <v>36</v>
      </c>
      <c r="L122" s="25" t="str">
        <f>HYPERLINK("http://pirotehnika-optom.ru/9-batarei-salyutov-optom/1413-obyknovennoe-chudo-12kh-36-modul.html","Просмотр")</f>
        <v>0</v>
      </c>
    </row>
    <row r="123" spans="1:12" customHeight="1" ht="11.25">
      <c r="A123" s="43">
        <v>109</v>
      </c>
      <c r="B123" s="44" t="s">
        <v>37</v>
      </c>
      <c r="C123" s="45" t="s">
        <v>37</v>
      </c>
      <c r="D123" s="43" t="s">
        <v>271</v>
      </c>
      <c r="E123" s="45" t="s">
        <v>272</v>
      </c>
      <c r="F123" s="46" t="s">
        <v>67</v>
      </c>
      <c r="G123" s="46" t="s">
        <v>37</v>
      </c>
      <c r="H123" s="46">
        <v>4</v>
      </c>
      <c r="I123" s="47">
        <v>7560</v>
      </c>
      <c r="J123" s="48">
        <v>7560</v>
      </c>
      <c r="K123" s="54">
        <v>32</v>
      </c>
      <c r="L123" s="25" t="str">
        <f>HYPERLINK("http://pirotehnika-optom.ru/9-batarei-salyutov-optom/2946-neon-36-125kh36.html","Просмотр")</f>
        <v>0</v>
      </c>
    </row>
    <row r="124" spans="1:12" customHeight="1" ht="11.25">
      <c r="A124" s="43">
        <v>110</v>
      </c>
      <c r="B124" s="44" t="s">
        <v>37</v>
      </c>
      <c r="C124" s="45" t="s">
        <v>37</v>
      </c>
      <c r="D124" s="43" t="s">
        <v>273</v>
      </c>
      <c r="E124" s="45" t="s">
        <v>274</v>
      </c>
      <c r="F124" s="46" t="s">
        <v>67</v>
      </c>
      <c r="G124" s="46" t="s">
        <v>37</v>
      </c>
      <c r="H124" s="46">
        <v>6</v>
      </c>
      <c r="I124" s="47">
        <v>7166.25</v>
      </c>
      <c r="J124" s="48">
        <v>7166.25</v>
      </c>
      <c r="K124" s="54">
        <v>48</v>
      </c>
      <c r="L124" s="25" t="str">
        <f>HYPERLINK("http://pirotehnika-optom.ru/9-batarei-salyutov-optom/5473-dobroe-serdce-11kh48.html","Просмотр")</f>
        <v>0</v>
      </c>
    </row>
    <row r="125" spans="1:12" customHeight="1" ht="11.25">
      <c r="A125" s="43">
        <v>111</v>
      </c>
      <c r="B125" s="44" t="s">
        <v>37</v>
      </c>
      <c r="C125" s="45" t="s">
        <v>37</v>
      </c>
      <c r="D125" s="43" t="s">
        <v>275</v>
      </c>
      <c r="E125" s="45" t="s">
        <v>276</v>
      </c>
      <c r="F125" s="46" t="s">
        <v>67</v>
      </c>
      <c r="G125" s="46" t="s">
        <v>37</v>
      </c>
      <c r="H125" s="46">
        <v>2</v>
      </c>
      <c r="I125" s="47">
        <v>12547.5</v>
      </c>
      <c r="J125" s="48">
        <v>12547.5</v>
      </c>
      <c r="K125" s="54">
        <v>6</v>
      </c>
      <c r="L125" s="25" t="str">
        <f>HYPERLINK("http://pirotehnika-optom.ru/9-batarei-salyutov-optom/4568-salyut-na-yubilej-125kh50.html","Просмотр")</f>
        <v>0</v>
      </c>
    </row>
    <row r="126" spans="1:12" customHeight="1" ht="11.25">
      <c r="A126" s="43">
        <v>112</v>
      </c>
      <c r="B126" s="44" t="s">
        <v>37</v>
      </c>
      <c r="C126" s="45" t="s">
        <v>37</v>
      </c>
      <c r="D126" s="43" t="s">
        <v>277</v>
      </c>
      <c r="E126" s="45" t="s">
        <v>278</v>
      </c>
      <c r="F126" s="46" t="s">
        <v>67</v>
      </c>
      <c r="G126" s="46" t="s">
        <v>37</v>
      </c>
      <c r="H126" s="46">
        <v>1</v>
      </c>
      <c r="I126" s="47">
        <v>16500</v>
      </c>
      <c r="J126" s="48">
        <v>16500</v>
      </c>
      <c r="K126" s="54">
        <v>6</v>
      </c>
      <c r="L126" s="25" t="str">
        <f>HYPERLINK("http://pirotehnika-optom.ru/9-batarei-salyutov-optom/6292-salyut-faberzhe.html","Просмотр")</f>
        <v>0</v>
      </c>
    </row>
    <row r="127" spans="1:12" customHeight="1" ht="11.25">
      <c r="A127" s="43">
        <v>113</v>
      </c>
      <c r="B127" s="44" t="s">
        <v>37</v>
      </c>
      <c r="C127" s="45" t="s">
        <v>37</v>
      </c>
      <c r="D127" s="43" t="s">
        <v>279</v>
      </c>
      <c r="E127" s="45" t="s">
        <v>280</v>
      </c>
      <c r="F127" s="46" t="s">
        <v>67</v>
      </c>
      <c r="G127" s="46" t="s">
        <v>37</v>
      </c>
      <c r="H127" s="46">
        <v>1</v>
      </c>
      <c r="I127" s="47">
        <v>17100</v>
      </c>
      <c r="J127" s="48">
        <v>17100</v>
      </c>
      <c r="K127" s="54">
        <v>1</v>
      </c>
      <c r="L127" s="25" t="str">
        <f>HYPERLINK("http://pirotehnika-optom.ru/9-batarei-salyutov-optom/6293-kurshavel.html","Просмотр")</f>
        <v>0</v>
      </c>
    </row>
    <row r="128" spans="1:12" customHeight="1" ht="11.25">
      <c r="A128" s="43">
        <v>114</v>
      </c>
      <c r="B128" s="44" t="s">
        <v>37</v>
      </c>
      <c r="C128" s="45" t="s">
        <v>37</v>
      </c>
      <c r="D128" s="43" t="s">
        <v>281</v>
      </c>
      <c r="E128" s="45" t="s">
        <v>282</v>
      </c>
      <c r="F128" s="46" t="s">
        <v>67</v>
      </c>
      <c r="G128" s="46" t="s">
        <v>37</v>
      </c>
      <c r="H128" s="46">
        <v>2</v>
      </c>
      <c r="I128" s="47">
        <v>13230</v>
      </c>
      <c r="J128" s="48">
        <v>13230</v>
      </c>
      <c r="K128" s="54">
        <v>1</v>
      </c>
      <c r="L128" s="25" t="str">
        <f>HYPERLINK("http://pirotehnika-optom.ru/9-batarei-salyutov-optom/5349-belyj-tanec-11kh88.html","Просмотр")</f>
        <v>0</v>
      </c>
    </row>
    <row r="129" spans="1:12" customHeight="1" ht="11.25">
      <c r="A129" s="43">
        <v>115</v>
      </c>
      <c r="B129" s="44" t="s">
        <v>37</v>
      </c>
      <c r="C129" s="45" t="s">
        <v>37</v>
      </c>
      <c r="D129" s="43" t="s">
        <v>283</v>
      </c>
      <c r="E129" s="45" t="s">
        <v>284</v>
      </c>
      <c r="F129" s="46" t="s">
        <v>67</v>
      </c>
      <c r="G129" s="46" t="s">
        <v>37</v>
      </c>
      <c r="H129" s="46">
        <v>2</v>
      </c>
      <c r="I129" s="47">
        <v>13230</v>
      </c>
      <c r="J129" s="48">
        <v>13230</v>
      </c>
      <c r="K129" s="54">
        <v>8</v>
      </c>
      <c r="L129" s="25" t="str">
        <f>HYPERLINK("http://pirotehnika-optom.ru/9-batarei-salyutov-optom/5350-lezginka-11kh88.html","Просмотр")</f>
        <v>0</v>
      </c>
    </row>
    <row r="130" spans="1:12" customHeight="1" ht="11.25">
      <c r="A130" s="43">
        <v>116</v>
      </c>
      <c r="B130" s="44" t="s">
        <v>37</v>
      </c>
      <c r="C130" s="45" t="s">
        <v>37</v>
      </c>
      <c r="D130" s="43" t="s">
        <v>285</v>
      </c>
      <c r="E130" s="45" t="s">
        <v>286</v>
      </c>
      <c r="F130" s="46" t="s">
        <v>67</v>
      </c>
      <c r="G130" s="46" t="s">
        <v>37</v>
      </c>
      <c r="H130" s="46">
        <v>1</v>
      </c>
      <c r="I130" s="47">
        <v>27615</v>
      </c>
      <c r="J130" s="48">
        <v>27615</v>
      </c>
      <c r="K130" s="54">
        <v>3</v>
      </c>
      <c r="L130" s="25" t="str">
        <f>HYPERLINK("http://pirotehnika-optom.ru/9-batarei-salyutov-optom/5470-super-puper-ultra-mega-125kh90.html","Просмотр")</f>
        <v>0</v>
      </c>
    </row>
    <row r="131" spans="1:12" customHeight="1" ht="11.25">
      <c r="A131" s="43">
        <v>117</v>
      </c>
      <c r="B131" s="44" t="s">
        <v>37</v>
      </c>
      <c r="C131" s="45" t="s">
        <v>37</v>
      </c>
      <c r="D131" s="43" t="s">
        <v>287</v>
      </c>
      <c r="E131" s="45" t="s">
        <v>288</v>
      </c>
      <c r="F131" s="46" t="s">
        <v>67</v>
      </c>
      <c r="G131" s="46" t="s">
        <v>37</v>
      </c>
      <c r="H131" s="46">
        <v>1</v>
      </c>
      <c r="I131" s="47">
        <v>21525</v>
      </c>
      <c r="J131" s="48">
        <v>21525</v>
      </c>
      <c r="K131" s="54">
        <v>3</v>
      </c>
      <c r="L131" s="25" t="str">
        <f>HYPERLINK("http://pirotehnika-optom.ru/9-batarei-salyutov-optom/2466-brutalnyj.html","Просмотр")</f>
        <v>0</v>
      </c>
    </row>
    <row r="132" spans="1:12" customHeight="1" ht="11.25">
      <c r="A132" s="43">
        <v>118</v>
      </c>
      <c r="B132" s="44" t="s">
        <v>37</v>
      </c>
      <c r="C132" s="45" t="s">
        <v>37</v>
      </c>
      <c r="D132" s="43" t="s">
        <v>289</v>
      </c>
      <c r="E132" s="45" t="s">
        <v>290</v>
      </c>
      <c r="F132" s="46" t="s">
        <v>67</v>
      </c>
      <c r="G132" s="46" t="s">
        <v>37</v>
      </c>
      <c r="H132" s="46">
        <v>1</v>
      </c>
      <c r="I132" s="47">
        <v>22050</v>
      </c>
      <c r="J132" s="48">
        <v>22050</v>
      </c>
      <c r="K132" s="54">
        <v>3</v>
      </c>
      <c r="L132" s="25" t="str">
        <f>HYPERLINK("http://pirotehnika-optom.ru/9-batarei-salyutov-optom/4789-pust-zhizn-budet-yarkoj-12x99.html","Просмотр")</f>
        <v>0</v>
      </c>
    </row>
    <row r="133" spans="1:12" customHeight="1" ht="11.25">
      <c r="A133" s="43">
        <v>119</v>
      </c>
      <c r="B133" s="44" t="s">
        <v>37</v>
      </c>
      <c r="C133" s="45" t="s">
        <v>37</v>
      </c>
      <c r="D133" s="43" t="s">
        <v>291</v>
      </c>
      <c r="E133" s="45" t="s">
        <v>292</v>
      </c>
      <c r="F133" s="46" t="s">
        <v>67</v>
      </c>
      <c r="G133" s="46" t="s">
        <v>37</v>
      </c>
      <c r="H133" s="46">
        <v>1</v>
      </c>
      <c r="I133" s="47">
        <v>22050</v>
      </c>
      <c r="J133" s="48">
        <v>22050</v>
      </c>
      <c r="K133" s="54">
        <v>3</v>
      </c>
      <c r="L133" s="25" t="str">
        <f>HYPERLINK("http://pirotehnika-optom.ru/9-batarei-salyutov-optom/6281-bolshoj-salyut-12kh99.html","Просмотр")</f>
        <v>0</v>
      </c>
    </row>
    <row r="134" spans="1:12" customHeight="1" ht="11.25">
      <c r="A134" s="43">
        <v>120</v>
      </c>
      <c r="B134" s="44" t="s">
        <v>37</v>
      </c>
      <c r="C134" s="45" t="s">
        <v>37</v>
      </c>
      <c r="D134" s="43" t="s">
        <v>293</v>
      </c>
      <c r="E134" s="45" t="s">
        <v>294</v>
      </c>
      <c r="F134" s="46" t="s">
        <v>67</v>
      </c>
      <c r="G134" s="46" t="s">
        <v>37</v>
      </c>
      <c r="H134" s="46">
        <v>1</v>
      </c>
      <c r="I134" s="47">
        <v>23362.5</v>
      </c>
      <c r="J134" s="48">
        <v>23362.5</v>
      </c>
      <c r="K134" s="54">
        <v>5</v>
      </c>
      <c r="L134" s="25" t="str">
        <f>HYPERLINK("http://pirotehnika-optom.ru/9-batarei-salyutov-optom/2528-zvezdy-moskvy.html","Просмотр")</f>
        <v>0</v>
      </c>
    </row>
    <row r="135" spans="1:12" customHeight="1" ht="11.25">
      <c r="A135" s="43">
        <v>121</v>
      </c>
      <c r="B135" s="44" t="s">
        <v>37</v>
      </c>
      <c r="C135" s="45" t="s">
        <v>37</v>
      </c>
      <c r="D135" s="43" t="s">
        <v>295</v>
      </c>
      <c r="E135" s="45" t="s">
        <v>296</v>
      </c>
      <c r="F135" s="46" t="s">
        <v>67</v>
      </c>
      <c r="G135" s="46" t="s">
        <v>37</v>
      </c>
      <c r="H135" s="46">
        <v>1</v>
      </c>
      <c r="I135" s="47">
        <v>22250</v>
      </c>
      <c r="J135" s="48">
        <v>22250</v>
      </c>
      <c r="K135" s="54">
        <v>3</v>
      </c>
      <c r="L135" s="25" t="str">
        <f>HYPERLINK("http://pirotehnika-optom.ru/9-batarei-salyutov-optom/6558-zvyozdy-moskvy-12kh99.html","Просмотр")</f>
        <v>0</v>
      </c>
    </row>
    <row r="136" spans="1:12" customHeight="1" ht="11.25">
      <c r="A136" s="43">
        <v>122</v>
      </c>
      <c r="B136" s="44" t="s">
        <v>37</v>
      </c>
      <c r="C136" s="45" t="s">
        <v>37</v>
      </c>
      <c r="D136" s="43" t="s">
        <v>297</v>
      </c>
      <c r="E136" s="45" t="s">
        <v>298</v>
      </c>
      <c r="F136" s="46" t="s">
        <v>67</v>
      </c>
      <c r="G136" s="46" t="s">
        <v>37</v>
      </c>
      <c r="H136" s="46">
        <v>1</v>
      </c>
      <c r="I136" s="47">
        <v>28000</v>
      </c>
      <c r="J136" s="48">
        <v>28000</v>
      </c>
      <c r="K136" s="54">
        <v>3</v>
      </c>
      <c r="L136" s="25" t="str">
        <f>HYPERLINK("http://pirotehnika-optom.ru/9-batarei-salyutov-optom/6559-nastroenie-prazdnika-12kh99.html","Просмотр")</f>
        <v>0</v>
      </c>
    </row>
    <row r="137" spans="1:12" customHeight="1" ht="11.25">
      <c r="A137" s="43">
        <v>123</v>
      </c>
      <c r="B137" s="44" t="s">
        <v>37</v>
      </c>
      <c r="C137" s="45" t="s">
        <v>37</v>
      </c>
      <c r="D137" s="43" t="s">
        <v>299</v>
      </c>
      <c r="E137" s="45" t="s">
        <v>300</v>
      </c>
      <c r="F137" s="46" t="s">
        <v>67</v>
      </c>
      <c r="G137" s="46" t="s">
        <v>37</v>
      </c>
      <c r="H137" s="46">
        <v>1</v>
      </c>
      <c r="I137" s="47">
        <v>37065</v>
      </c>
      <c r="J137" s="48">
        <v>37065</v>
      </c>
      <c r="K137" s="54">
        <v>3</v>
      </c>
      <c r="L137" s="25" t="str">
        <f>HYPERLINK("http://pirotehnika-optom.ru/9-batarei-salyutov-optom/2358-megapolis.html","Просмотр")</f>
        <v>0</v>
      </c>
    </row>
    <row r="138" spans="1:12" customHeight="1" ht="11.25">
      <c r="A138" s="43">
        <v>124</v>
      </c>
      <c r="B138" s="44" t="s">
        <v>37</v>
      </c>
      <c r="C138" s="45" t="s">
        <v>37</v>
      </c>
      <c r="D138" s="43" t="s">
        <v>301</v>
      </c>
      <c r="E138" s="45" t="s">
        <v>302</v>
      </c>
      <c r="F138" s="46" t="s">
        <v>67</v>
      </c>
      <c r="G138" s="46" t="s">
        <v>37</v>
      </c>
      <c r="H138" s="46">
        <v>1</v>
      </c>
      <c r="I138" s="47">
        <v>37065</v>
      </c>
      <c r="J138" s="48">
        <v>37065</v>
      </c>
      <c r="K138" s="54">
        <v>3</v>
      </c>
      <c r="L138" s="25" t="str">
        <f>HYPERLINK("http://pirotehnika-optom.ru/9-batarei-salyutov-optom/2944-vysshaya-proba125kh150.html","Просмотр")</f>
        <v>0</v>
      </c>
    </row>
    <row r="139" spans="1:12" customHeight="1" ht="11.25">
      <c r="A139" s="43">
        <v>125</v>
      </c>
      <c r="B139" s="44" t="s">
        <v>37</v>
      </c>
      <c r="C139" s="45" t="s">
        <v>37</v>
      </c>
      <c r="D139" s="43" t="s">
        <v>303</v>
      </c>
      <c r="E139" s="45" t="s">
        <v>304</v>
      </c>
      <c r="F139" s="46" t="s">
        <v>67</v>
      </c>
      <c r="G139" s="46" t="s">
        <v>37</v>
      </c>
      <c r="H139" s="46">
        <v>1</v>
      </c>
      <c r="I139" s="47">
        <v>38400</v>
      </c>
      <c r="J139" s="48">
        <v>38400</v>
      </c>
      <c r="K139" s="54">
        <v>3</v>
      </c>
      <c r="L139" s="25" t="str">
        <f>HYPERLINK("http://pirotehnika-optom.ru/9-batarei-salyutov-optom/6561-salyut-po-russki-125kh160.html","Просмотр")</f>
        <v>0</v>
      </c>
    </row>
    <row r="140" spans="1:12" customHeight="1" ht="11.25">
      <c r="A140" s="43">
        <v>126</v>
      </c>
      <c r="B140" s="44" t="s">
        <v>37</v>
      </c>
      <c r="C140" s="45" t="s">
        <v>37</v>
      </c>
      <c r="D140" s="43" t="s">
        <v>305</v>
      </c>
      <c r="E140" s="45" t="s">
        <v>306</v>
      </c>
      <c r="F140" s="46" t="s">
        <v>67</v>
      </c>
      <c r="G140" s="46" t="s">
        <v>37</v>
      </c>
      <c r="H140" s="46">
        <v>1</v>
      </c>
      <c r="I140" s="47">
        <v>52605</v>
      </c>
      <c r="J140" s="48">
        <v>52605</v>
      </c>
      <c r="K140" s="54">
        <v>5</v>
      </c>
      <c r="L140" s="25" t="str">
        <f>HYPERLINK("http://pirotehnika-optom.ru/9-batarei-salyutov-optom/2569-federaciya.html","Просмотр")</f>
        <v>0</v>
      </c>
    </row>
    <row r="141" spans="1:12" customHeight="1" ht="11.25">
      <c r="A141" s="43">
        <v>127</v>
      </c>
      <c r="B141" s="44" t="s">
        <v>37</v>
      </c>
      <c r="C141" s="45" t="s">
        <v>37</v>
      </c>
      <c r="D141" s="43" t="s">
        <v>307</v>
      </c>
      <c r="E141" s="45" t="s">
        <v>308</v>
      </c>
      <c r="F141" s="46" t="s">
        <v>67</v>
      </c>
      <c r="G141" s="46" t="s">
        <v>37</v>
      </c>
      <c r="H141" s="46">
        <v>4</v>
      </c>
      <c r="I141" s="47">
        <v>9439.5</v>
      </c>
      <c r="J141" s="48">
        <v>9439.5</v>
      </c>
      <c r="K141" s="54">
        <v>2</v>
      </c>
      <c r="L141" s="25" t="str">
        <f>HYPERLINK("http://pirotehnika-optom.ru/9-batarei-salyutov-optom/3322-podarok-ot-druzej-56-08-10-12-s-veernymi-zalpami.html","Просмотр")</f>
        <v>0</v>
      </c>
    </row>
    <row r="142" spans="1:12" customHeight="1" ht="11.25">
      <c r="A142" s="43">
        <v>128</v>
      </c>
      <c r="B142" s="44" t="s">
        <v>37</v>
      </c>
      <c r="C142" s="45" t="s">
        <v>37</v>
      </c>
      <c r="D142" s="43" t="s">
        <v>309</v>
      </c>
      <c r="E142" s="45" t="s">
        <v>310</v>
      </c>
      <c r="F142" s="46" t="s">
        <v>67</v>
      </c>
      <c r="G142" s="46" t="s">
        <v>37</v>
      </c>
      <c r="H142" s="46">
        <v>1</v>
      </c>
      <c r="I142" s="47">
        <v>20790</v>
      </c>
      <c r="J142" s="48">
        <v>20790</v>
      </c>
      <c r="K142" s="54">
        <v>5</v>
      </c>
      <c r="L142" s="25" t="str">
        <f>HYPERLINK("http://pirotehnika-optom.ru/9-batarei-salyutov-optom/2330-elki-palki-novyj-god.html","Просмотр")</f>
        <v>0</v>
      </c>
    </row>
    <row r="143" spans="1:12" customHeight="1" ht="11.25">
      <c r="A143" s="43">
        <v>129</v>
      </c>
      <c r="B143" s="44" t="s">
        <v>37</v>
      </c>
      <c r="C143" s="45" t="s">
        <v>37</v>
      </c>
      <c r="D143" s="43" t="s">
        <v>311</v>
      </c>
      <c r="E143" s="45" t="s">
        <v>312</v>
      </c>
      <c r="F143" s="46" t="s">
        <v>67</v>
      </c>
      <c r="G143" s="46" t="s">
        <v>37</v>
      </c>
      <c r="H143" s="46">
        <v>1</v>
      </c>
      <c r="I143" s="47">
        <v>24412.5</v>
      </c>
      <c r="J143" s="48">
        <v>24412.5</v>
      </c>
      <c r="K143" s="54">
        <v>2</v>
      </c>
      <c r="L143" s="25" t="str">
        <f>HYPERLINK("http://pirotehnika-optom.ru/9-batarei-salyutov-optom/4521-na-vsyu-katushku1012kh116.html","Просмотр")</f>
        <v>0</v>
      </c>
    </row>
    <row r="144" spans="1:12" customHeight="1" ht="11.25">
      <c r="A144" s="43">
        <v>130</v>
      </c>
      <c r="B144" s="44" t="s">
        <v>37</v>
      </c>
      <c r="C144" s="45" t="s">
        <v>37</v>
      </c>
      <c r="D144" s="43" t="s">
        <v>313</v>
      </c>
      <c r="E144" s="45" t="s">
        <v>314</v>
      </c>
      <c r="F144" s="46" t="s">
        <v>67</v>
      </c>
      <c r="G144" s="46" t="s">
        <v>37</v>
      </c>
      <c r="H144" s="46">
        <v>1</v>
      </c>
      <c r="I144" s="47">
        <v>44940</v>
      </c>
      <c r="J144" s="48">
        <v>44940</v>
      </c>
      <c r="K144" s="54">
        <v>3</v>
      </c>
      <c r="L144" s="25" t="str">
        <f>HYPERLINK("http://pirotehnika-optom.ru/9-batarei-salyutov-optom/2332-salyut-dostojnyj-prezidenta.html","Просмотр")</f>
        <v>0</v>
      </c>
    </row>
    <row r="145" spans="1:12" customHeight="1" ht="11.25">
      <c r="A145" s="43">
        <v>131</v>
      </c>
      <c r="B145" s="44" t="s">
        <v>37</v>
      </c>
      <c r="C145" s="45" t="s">
        <v>37</v>
      </c>
      <c r="D145" s="43" t="s">
        <v>315</v>
      </c>
      <c r="E145" s="45" t="s">
        <v>316</v>
      </c>
      <c r="F145" s="46" t="s">
        <v>67</v>
      </c>
      <c r="G145" s="46" t="s">
        <v>37</v>
      </c>
      <c r="H145" s="46">
        <v>1</v>
      </c>
      <c r="I145" s="47">
        <v>23730</v>
      </c>
      <c r="J145" s="48">
        <v>23730</v>
      </c>
      <c r="K145" s="54">
        <v>3</v>
      </c>
      <c r="L145" s="25" t="str">
        <f>HYPERLINK("http://pirotehnika-optom.ru/9-batarei-salyutov-optom/3002-khitsezona10-12-20kh130.html","Просмотр")</f>
        <v>0</v>
      </c>
    </row>
    <row r="146" spans="1:12" customHeight="1" ht="11.25">
      <c r="A146" s="43">
        <v>132</v>
      </c>
      <c r="B146" s="44" t="s">
        <v>37</v>
      </c>
      <c r="C146" s="45" t="s">
        <v>37</v>
      </c>
      <c r="D146" s="43" t="s">
        <v>317</v>
      </c>
      <c r="E146" s="45" t="s">
        <v>318</v>
      </c>
      <c r="F146" s="46" t="s">
        <v>67</v>
      </c>
      <c r="G146" s="46" t="s">
        <v>37</v>
      </c>
      <c r="H146" s="46">
        <v>1</v>
      </c>
      <c r="I146" s="47">
        <v>23047.5</v>
      </c>
      <c r="J146" s="48">
        <v>23047.5</v>
      </c>
      <c r="K146" s="54">
        <v>3</v>
      </c>
      <c r="L146" s="25" t="str">
        <f>HYPERLINK("http://pirotehnika-optom.ru/9-batarei-salyutov-optom/2294-russkaya-zima.html","Просмотр")</f>
        <v>0</v>
      </c>
    </row>
    <row r="147" spans="1:12" customHeight="1" ht="11.25">
      <c r="A147" s="43">
        <v>133</v>
      </c>
      <c r="B147" s="44" t="s">
        <v>37</v>
      </c>
      <c r="C147" s="45" t="s">
        <v>37</v>
      </c>
      <c r="D147" s="43" t="s">
        <v>319</v>
      </c>
      <c r="E147" s="45" t="s">
        <v>320</v>
      </c>
      <c r="F147" s="46" t="s">
        <v>67</v>
      </c>
      <c r="G147" s="46" t="s">
        <v>37</v>
      </c>
      <c r="H147" s="46">
        <v>1</v>
      </c>
      <c r="I147" s="47">
        <v>23730</v>
      </c>
      <c r="J147" s="48">
        <v>23730</v>
      </c>
      <c r="K147" s="54">
        <v>3</v>
      </c>
      <c r="L147" s="25" t="str">
        <f>HYPERLINK("http://pirotehnika-optom.ru/9-batarei-salyutov-optom/4583-bombicheskij.html","Просмотр")</f>
        <v>0</v>
      </c>
    </row>
    <row r="148" spans="1:12" customHeight="1" ht="11.25">
      <c r="A148" s="43">
        <v>134</v>
      </c>
      <c r="B148" s="44" t="s">
        <v>37</v>
      </c>
      <c r="C148" s="45" t="s">
        <v>37</v>
      </c>
      <c r="D148" s="43" t="s">
        <v>321</v>
      </c>
      <c r="E148" s="45" t="s">
        <v>322</v>
      </c>
      <c r="F148" s="46" t="s">
        <v>67</v>
      </c>
      <c r="G148" s="46" t="s">
        <v>37</v>
      </c>
      <c r="H148" s="46">
        <v>1</v>
      </c>
      <c r="I148" s="47">
        <v>44415</v>
      </c>
      <c r="J148" s="48">
        <v>44415</v>
      </c>
      <c r="K148" s="54">
        <v>3</v>
      </c>
      <c r="L148" s="25" t="str">
        <f>HYPERLINK("http://pirotehnika-optom.ru/9-batarei-salyutov-optom/2360-russkaya-dusha.html","Просмотр")</f>
        <v>0</v>
      </c>
    </row>
    <row r="149" spans="1:12" customHeight="1" ht="11.25">
      <c r="A149" s="43">
        <v>135</v>
      </c>
      <c r="B149" s="44" t="s">
        <v>37</v>
      </c>
      <c r="C149" s="45" t="s">
        <v>37</v>
      </c>
      <c r="D149" s="43" t="s">
        <v>323</v>
      </c>
      <c r="E149" s="45" t="s">
        <v>324</v>
      </c>
      <c r="F149" s="46" t="s">
        <v>67</v>
      </c>
      <c r="G149" s="46" t="s">
        <v>37</v>
      </c>
      <c r="H149" s="46">
        <v>1</v>
      </c>
      <c r="I149" s="47">
        <v>70800</v>
      </c>
      <c r="J149" s="48">
        <v>70800</v>
      </c>
      <c r="K149" s="54">
        <v>3</v>
      </c>
      <c r="L149" s="25" t="str">
        <f>HYPERLINK("http://pirotehnika-optom.ru/9-batarei-salyutov-optom/6562-yavnoe-preimusshestvo1-12-15kh228.html","Просмотр")</f>
        <v>0</v>
      </c>
    </row>
    <row r="150" spans="1:12" customHeight="1" ht="11.25">
      <c r="A150" s="43">
        <v>136</v>
      </c>
      <c r="B150" s="44" t="s">
        <v>37</v>
      </c>
      <c r="C150" s="45" t="s">
        <v>37</v>
      </c>
      <c r="D150" s="43" t="s">
        <v>325</v>
      </c>
      <c r="E150" s="45" t="s">
        <v>326</v>
      </c>
      <c r="F150" s="46" t="s">
        <v>67</v>
      </c>
      <c r="G150" s="46" t="s">
        <v>37</v>
      </c>
      <c r="H150" s="46">
        <v>1</v>
      </c>
      <c r="I150" s="47">
        <v>70800</v>
      </c>
      <c r="J150" s="48">
        <v>70800</v>
      </c>
      <c r="K150" s="54">
        <v>3</v>
      </c>
      <c r="L150" s="25" t="str">
        <f>HYPERLINK("http://pirotehnika-optom.ru/9-batarei-salyutov-optom/6563-russkij-mir-1-12-15kh228.html","Просмотр")</f>
        <v>0</v>
      </c>
    </row>
    <row r="151" spans="1:12" customHeight="1" ht="11.25">
      <c r="A151" s="43">
        <v>137</v>
      </c>
      <c r="B151" s="44" t="s">
        <v>37</v>
      </c>
      <c r="C151" s="45" t="s">
        <v>37</v>
      </c>
      <c r="D151" s="43" t="s">
        <v>327</v>
      </c>
      <c r="E151" s="45" t="s">
        <v>328</v>
      </c>
      <c r="F151" s="46" t="s">
        <v>67</v>
      </c>
      <c r="G151" s="46" t="s">
        <v>37</v>
      </c>
      <c r="H151" s="46">
        <v>1</v>
      </c>
      <c r="I151" s="47">
        <v>37485</v>
      </c>
      <c r="J151" s="48">
        <v>37485</v>
      </c>
      <c r="K151" s="54">
        <v>3</v>
      </c>
      <c r="L151" s="25" t="str">
        <f>HYPERLINK("http://pirotehnika-optom.ru/9-batarei-salyutov-optom/3403-sluzhu-otechestvu-220-08-10-12-s-veernymi-zalpami.html","Просмотр")</f>
        <v>0</v>
      </c>
    </row>
    <row r="152" spans="1:12" customHeight="1" ht="11.25">
      <c r="A152" s="43">
        <v>138</v>
      </c>
      <c r="B152" s="44" t="s">
        <v>37</v>
      </c>
      <c r="C152" s="45" t="s">
        <v>37</v>
      </c>
      <c r="D152" s="43" t="s">
        <v>329</v>
      </c>
      <c r="E152" s="45" t="s">
        <v>330</v>
      </c>
      <c r="F152" s="46" t="s">
        <v>67</v>
      </c>
      <c r="G152" s="46" t="s">
        <v>37</v>
      </c>
      <c r="H152" s="46">
        <v>1</v>
      </c>
      <c r="I152" s="47">
        <v>52920</v>
      </c>
      <c r="J152" s="48">
        <v>52920</v>
      </c>
      <c r="K152" s="54">
        <v>5</v>
      </c>
      <c r="L152" s="25" t="str">
        <f>HYPERLINK("http://pirotehnika-optom.ru/9-batarei-salyutov-optom/4395-vecherinochka08101215kh222.html","Просмотр")</f>
        <v>0</v>
      </c>
    </row>
    <row r="153" spans="1:12" customHeight="1" ht="11.25">
      <c r="A153" s="43">
        <v>139</v>
      </c>
      <c r="B153" s="44" t="s">
        <v>37</v>
      </c>
      <c r="C153" s="45" t="s">
        <v>37</v>
      </c>
      <c r="D153" s="43" t="s">
        <v>331</v>
      </c>
      <c r="E153" s="45" t="s">
        <v>332</v>
      </c>
      <c r="F153" s="46" t="s">
        <v>67</v>
      </c>
      <c r="G153" s="46" t="s">
        <v>37</v>
      </c>
      <c r="H153" s="46">
        <v>1</v>
      </c>
      <c r="I153" s="47">
        <v>56280</v>
      </c>
      <c r="J153" s="48">
        <v>56280</v>
      </c>
      <c r="K153" s="54">
        <v>5</v>
      </c>
      <c r="L153" s="25" t="str">
        <f>HYPERLINK("http://pirotehnika-optom.ru/9-batarei-salyutov-optom/4711-zhizn-prekrasna.html","Просмотр")</f>
        <v>0</v>
      </c>
    </row>
    <row r="154" spans="1:12" customHeight="1" ht="11.25">
      <c r="A154" s="43">
        <v>140</v>
      </c>
      <c r="B154" s="44" t="s">
        <v>37</v>
      </c>
      <c r="C154" s="45" t="s">
        <v>37</v>
      </c>
      <c r="D154" s="43" t="s">
        <v>333</v>
      </c>
      <c r="E154" s="45" t="s">
        <v>334</v>
      </c>
      <c r="F154" s="46" t="s">
        <v>67</v>
      </c>
      <c r="G154" s="46" t="s">
        <v>37</v>
      </c>
      <c r="H154" s="46">
        <v>1</v>
      </c>
      <c r="I154" s="47">
        <v>51135</v>
      </c>
      <c r="J154" s="48">
        <v>51135</v>
      </c>
      <c r="K154" s="54">
        <v>3</v>
      </c>
      <c r="L154" s="25" t="str">
        <f>HYPERLINK("http://pirotehnika-optom.ru/9-batarei-salyutov-optom/2469-lyubov-i-golubi.html","Просмотр")</f>
        <v>0</v>
      </c>
    </row>
    <row r="155" spans="1:12" customHeight="1" ht="11.25">
      <c r="A155" s="43">
        <v>141</v>
      </c>
      <c r="B155" s="44" t="s">
        <v>37</v>
      </c>
      <c r="C155" s="45" t="s">
        <v>37</v>
      </c>
      <c r="D155" s="43" t="s">
        <v>335</v>
      </c>
      <c r="E155" s="45" t="s">
        <v>336</v>
      </c>
      <c r="F155" s="46" t="s">
        <v>67</v>
      </c>
      <c r="G155" s="46" t="s">
        <v>37</v>
      </c>
      <c r="H155" s="46">
        <v>1</v>
      </c>
      <c r="I155" s="47">
        <v>107625</v>
      </c>
      <c r="J155" s="48">
        <v>107625</v>
      </c>
      <c r="K155" s="54">
        <v>5</v>
      </c>
      <c r="L155" s="25" t="str">
        <f>HYPERLINK("http://pirotehnika-optom.ru/9-batarei-salyutov-optom/2126-dostoyanie-respubliki.html","Просмотр")</f>
        <v>0</v>
      </c>
    </row>
    <row r="156" spans="1:12" customHeight="1" ht="11.25">
      <c r="A156" s="43">
        <v>142</v>
      </c>
      <c r="B156" s="44" t="s">
        <v>37</v>
      </c>
      <c r="C156" s="45" t="s">
        <v>37</v>
      </c>
      <c r="D156" s="43" t="s">
        <v>337</v>
      </c>
      <c r="E156" s="45" t="s">
        <v>338</v>
      </c>
      <c r="F156" s="46" t="s">
        <v>67</v>
      </c>
      <c r="G156" s="46" t="s">
        <v>37</v>
      </c>
      <c r="H156" s="46">
        <v>1</v>
      </c>
      <c r="I156" s="47">
        <v>111195</v>
      </c>
      <c r="J156" s="48">
        <v>111195</v>
      </c>
      <c r="K156" s="54">
        <v>5</v>
      </c>
      <c r="L156" s="25" t="str">
        <f>HYPERLINK("http://pirotehnika-optom.ru/9-batarei-salyutov-optom/3003-professionalnyj08-10-12kh590.html","Просмотр")</f>
        <v>0</v>
      </c>
    </row>
    <row r="157" spans="1:12" customHeight="1" ht="11.25">
      <c r="A157" s="43">
        <v>143</v>
      </c>
      <c r="B157" s="44" t="s">
        <v>37</v>
      </c>
      <c r="C157" s="45" t="s">
        <v>37</v>
      </c>
      <c r="D157" s="43" t="s">
        <v>339</v>
      </c>
      <c r="E157" s="45" t="s">
        <v>340</v>
      </c>
      <c r="F157" s="46" t="s">
        <v>67</v>
      </c>
      <c r="G157" s="46" t="s">
        <v>37</v>
      </c>
      <c r="H157" s="46">
        <v>1</v>
      </c>
      <c r="I157" s="47">
        <v>24255</v>
      </c>
      <c r="J157" s="48">
        <v>24255</v>
      </c>
      <c r="K157" s="54">
        <v>10</v>
      </c>
      <c r="L157" s="25" t="str">
        <f>HYPERLINK("http://pirotehnika-optom.ru/9-batarei-salyutov-optom/5483-krupnogabaritnyj-salyut-15kh88.html","Просмотр")</f>
        <v>0</v>
      </c>
    </row>
    <row r="158" spans="1:12" customHeight="1" ht="11.25">
      <c r="A158" s="43">
        <v>144</v>
      </c>
      <c r="B158" s="44" t="s">
        <v>37</v>
      </c>
      <c r="C158" s="45" t="s">
        <v>37</v>
      </c>
      <c r="D158" s="43" t="s">
        <v>341</v>
      </c>
      <c r="E158" s="45" t="s">
        <v>342</v>
      </c>
      <c r="F158" s="46" t="s">
        <v>67</v>
      </c>
      <c r="G158" s="46" t="s">
        <v>37</v>
      </c>
      <c r="H158" s="46">
        <v>1</v>
      </c>
      <c r="I158" s="47">
        <v>41685</v>
      </c>
      <c r="J158" s="48">
        <v>41685</v>
      </c>
      <c r="K158" s="54">
        <v>5</v>
      </c>
      <c r="L158" s="25" t="str">
        <f>HYPERLINK("http://pirotehnika-optom.ru/9-batarei-salyutov-optom/4396-geroj-rossii-15kh100.html","Просмотр")</f>
        <v>0</v>
      </c>
    </row>
    <row r="159" spans="1:12" customHeight="1" ht="11.25">
      <c r="A159" s="43">
        <v>145</v>
      </c>
      <c r="B159" s="44" t="s">
        <v>37</v>
      </c>
      <c r="C159" s="45" t="s">
        <v>37</v>
      </c>
      <c r="D159" s="43" t="s">
        <v>343</v>
      </c>
      <c r="E159" s="45" t="s">
        <v>344</v>
      </c>
      <c r="F159" s="46" t="s">
        <v>67</v>
      </c>
      <c r="G159" s="46" t="s">
        <v>37</v>
      </c>
      <c r="H159" s="46">
        <v>2</v>
      </c>
      <c r="I159" s="47">
        <v>11539.5</v>
      </c>
      <c r="J159" s="48">
        <v>11539.5</v>
      </c>
      <c r="K159" s="54">
        <v>10</v>
      </c>
      <c r="L159" s="25" t="str">
        <f>HYPERLINK("http://pirotehnika-optom.ru/9-batarei-salyutov-optom/2536-mms-mega-mosshnyj-salyut.html","Просмотр")</f>
        <v>0</v>
      </c>
    </row>
    <row r="160" spans="1:12" customHeight="1" ht="11.25">
      <c r="A160" s="43">
        <v>146</v>
      </c>
      <c r="B160" s="44" t="s">
        <v>37</v>
      </c>
      <c r="C160" s="45" t="s">
        <v>37</v>
      </c>
      <c r="D160" s="43" t="s">
        <v>345</v>
      </c>
      <c r="E160" s="45" t="s">
        <v>346</v>
      </c>
      <c r="F160" s="46" t="s">
        <v>67</v>
      </c>
      <c r="G160" s="46" t="s">
        <v>37</v>
      </c>
      <c r="H160" s="46">
        <v>2</v>
      </c>
      <c r="I160" s="47">
        <v>14805</v>
      </c>
      <c r="J160" s="48">
        <v>14805</v>
      </c>
      <c r="K160" s="54">
        <v>10</v>
      </c>
      <c r="L160" s="25" t="str">
        <f>HYPERLINK("http://pirotehnika-optom.ru/9-batarei-salyutov-optom/2565-krasivaya-zhizn.html","Просмотр")</f>
        <v>0</v>
      </c>
    </row>
    <row r="161" spans="1:12" customHeight="1" ht="11.25">
      <c r="A161" s="43">
        <v>147</v>
      </c>
      <c r="B161" s="44" t="s">
        <v>37</v>
      </c>
      <c r="C161" s="45" t="s">
        <v>37</v>
      </c>
      <c r="D161" s="43" t="s">
        <v>347</v>
      </c>
      <c r="E161" s="45" t="s">
        <v>348</v>
      </c>
      <c r="F161" s="46" t="s">
        <v>67</v>
      </c>
      <c r="G161" s="46" t="s">
        <v>37</v>
      </c>
      <c r="H161" s="46">
        <v>2</v>
      </c>
      <c r="I161" s="47">
        <v>25935</v>
      </c>
      <c r="J161" s="48">
        <v>25935</v>
      </c>
      <c r="K161" s="54">
        <v>10</v>
      </c>
      <c r="L161" s="25" t="str">
        <f>HYPERLINK("http://pirotehnika-optom.ru/9-batarei-salyutov-optom/2361-ya-lyublyu-rossiyu.html","Просмотр")</f>
        <v>0</v>
      </c>
    </row>
    <row r="162" spans="1:12" customHeight="1" ht="11.25">
      <c r="A162" s="43">
        <v>148</v>
      </c>
      <c r="B162" s="44" t="s">
        <v>37</v>
      </c>
      <c r="C162" s="45" t="s">
        <v>37</v>
      </c>
      <c r="D162" s="43" t="s">
        <v>349</v>
      </c>
      <c r="E162" s="45" t="s">
        <v>350</v>
      </c>
      <c r="F162" s="46" t="s">
        <v>67</v>
      </c>
      <c r="G162" s="46" t="s">
        <v>37</v>
      </c>
      <c r="H162" s="46">
        <v>2</v>
      </c>
      <c r="I162" s="47">
        <v>27562.5</v>
      </c>
      <c r="J162" s="48">
        <v>27562.5</v>
      </c>
      <c r="K162" s="54">
        <v>3</v>
      </c>
      <c r="L162" s="25" t="str">
        <f>HYPERLINK("http://pirotehnika-optom.ru/9-batarei-salyutov-optom/3861-kurskaya-bitva-275kh-19.html","Просмотр")</f>
        <v>0</v>
      </c>
    </row>
    <row r="163" spans="1:12" customHeight="1" ht="11.25">
      <c r="A163" s="43">
        <v>149</v>
      </c>
      <c r="B163" s="44" t="s">
        <v>37</v>
      </c>
      <c r="C163" s="45" t="s">
        <v>37</v>
      </c>
      <c r="D163" s="43" t="s">
        <v>351</v>
      </c>
      <c r="E163" s="45" t="s">
        <v>352</v>
      </c>
      <c r="F163" s="46" t="s">
        <v>67</v>
      </c>
      <c r="G163" s="46" t="s">
        <v>37</v>
      </c>
      <c r="H163" s="46">
        <v>1</v>
      </c>
      <c r="I163" s="47">
        <v>35280</v>
      </c>
      <c r="J163" s="48">
        <v>35280</v>
      </c>
      <c r="K163" s="54">
        <v>5</v>
      </c>
      <c r="L163" s="25" t="str">
        <f>HYPERLINK("http://pirotehnika-optom.ru/9-batarei-salyutov-optom/3693-pyotr-velikij275kh25.html","Просмотр")</f>
        <v>0</v>
      </c>
    </row>
    <row r="164" spans="1:12" customHeight="1" ht="11.25">
      <c r="A164" s="43">
        <v>150</v>
      </c>
      <c r="B164" s="44" t="s">
        <v>37</v>
      </c>
      <c r="C164" s="45" t="s">
        <v>37</v>
      </c>
      <c r="D164" s="43" t="s">
        <v>353</v>
      </c>
      <c r="E164" s="45" t="s">
        <v>354</v>
      </c>
      <c r="F164" s="46" t="s">
        <v>67</v>
      </c>
      <c r="G164" s="46" t="s">
        <v>37</v>
      </c>
      <c r="H164" s="46">
        <v>1</v>
      </c>
      <c r="I164" s="47">
        <v>69956.25</v>
      </c>
      <c r="J164" s="48">
        <v>69956.25</v>
      </c>
      <c r="K164" s="54">
        <v>5</v>
      </c>
      <c r="L164" s="25" t="str">
        <f>HYPERLINK("http://pirotehnika-optom.ru/9-batarei-salyutov-optom/3862-vzyatie-berlina-275kh49.html","Просмотр")</f>
        <v>0</v>
      </c>
    </row>
    <row r="165" spans="1:12" customHeight="1" ht="11.25">
      <c r="A165" s="43">
        <v>151</v>
      </c>
      <c r="B165" s="44" t="s">
        <v>37</v>
      </c>
      <c r="C165" s="45" t="s">
        <v>79</v>
      </c>
      <c r="D165" s="43" t="s">
        <v>355</v>
      </c>
      <c r="E165" s="45" t="s">
        <v>356</v>
      </c>
      <c r="F165" s="46" t="s">
        <v>67</v>
      </c>
      <c r="G165" s="46" t="s">
        <v>37</v>
      </c>
      <c r="H165" s="46">
        <v>12</v>
      </c>
      <c r="I165" s="47">
        <v>1146</v>
      </c>
      <c r="J165" s="48">
        <v>1146</v>
      </c>
      <c r="K165" s="54">
        <v>24</v>
      </c>
      <c r="L165" s="25" t="str">
        <f>HYPERLINK("http://pirotehnika-optom.ru/9-batarei-salyutov-optom/4410-mini-fejerverk-veselyj-prazdnik-08kh10.html","Просмотр")</f>
        <v>0</v>
      </c>
    </row>
    <row r="166" spans="1:12" customHeight="1" ht="11.25">
      <c r="A166" s="43">
        <v>152</v>
      </c>
      <c r="B166" s="44" t="s">
        <v>37</v>
      </c>
      <c r="C166" s="45" t="s">
        <v>37</v>
      </c>
      <c r="D166" s="43" t="s">
        <v>357</v>
      </c>
      <c r="E166" s="45" t="s">
        <v>356</v>
      </c>
      <c r="F166" s="46" t="s">
        <v>67</v>
      </c>
      <c r="G166" s="46" t="s">
        <v>37</v>
      </c>
      <c r="H166" s="46">
        <v>12</v>
      </c>
      <c r="I166" s="47">
        <v>1146</v>
      </c>
      <c r="J166" s="48">
        <v>1146</v>
      </c>
      <c r="K166" s="54">
        <v>10</v>
      </c>
      <c r="L166" s="25" t="str">
        <f>HYPERLINK("http://pirotehnika-optom.ru/9-batarei-salyutov-optom/6533-mini-fejerverk-veselyj-prazdnik-08kh10-6533.html","Просмотр")</f>
        <v>0</v>
      </c>
    </row>
    <row r="167" spans="1:12" customHeight="1" ht="11.25">
      <c r="A167" s="43">
        <v>153</v>
      </c>
      <c r="B167" s="44" t="s">
        <v>37</v>
      </c>
      <c r="C167" s="45" t="s">
        <v>37</v>
      </c>
      <c r="D167" s="43" t="s">
        <v>358</v>
      </c>
      <c r="E167" s="45" t="s">
        <v>359</v>
      </c>
      <c r="F167" s="46" t="s">
        <v>67</v>
      </c>
      <c r="G167" s="46" t="s">
        <v>37</v>
      </c>
      <c r="H167" s="46">
        <v>6</v>
      </c>
      <c r="I167" s="47">
        <v>1590</v>
      </c>
      <c r="J167" s="48">
        <v>1590</v>
      </c>
      <c r="K167" s="54">
        <v>2</v>
      </c>
      <c r="L167" s="25" t="str">
        <f>HYPERLINK("http://pirotehnika-optom.ru/9-batarei-salyutov-optom/6528-mini-fejerverk-veselyj-prazdnik-08x20-6528.html","Просмотр")</f>
        <v>0</v>
      </c>
    </row>
    <row r="168" spans="1:12" customHeight="1" ht="11.25">
      <c r="A168" s="43">
        <v>154</v>
      </c>
      <c r="B168" s="44" t="s">
        <v>37</v>
      </c>
      <c r="C168" s="45" t="s">
        <v>84</v>
      </c>
      <c r="D168" s="43" t="s">
        <v>360</v>
      </c>
      <c r="E168" s="45" t="s">
        <v>361</v>
      </c>
      <c r="F168" s="46" t="s">
        <v>67</v>
      </c>
      <c r="G168" s="46" t="s">
        <v>37</v>
      </c>
      <c r="H168" s="46">
        <v>60</v>
      </c>
      <c r="I168" s="47">
        <v>485.1</v>
      </c>
      <c r="J168" s="48">
        <v>485.1</v>
      </c>
      <c r="K168" s="54">
        <v>19</v>
      </c>
      <c r="L168" s="25" t="str">
        <f>HYPERLINK("http://pirotehnika-optom.ru/9-batarei-salyutov-optom/2487-raketa-saturn-saturn-missile.html","Просмотр")</f>
        <v>0</v>
      </c>
    </row>
    <row r="169" spans="1:12" customHeight="1" ht="11.25">
      <c r="A169" s="43">
        <v>155</v>
      </c>
      <c r="B169" s="44" t="s">
        <v>37</v>
      </c>
      <c r="C169" s="45" t="s">
        <v>37</v>
      </c>
      <c r="D169" s="43" t="s">
        <v>362</v>
      </c>
      <c r="E169" s="45" t="s">
        <v>363</v>
      </c>
      <c r="F169" s="46" t="s">
        <v>67</v>
      </c>
      <c r="G169" s="46" t="s">
        <v>37</v>
      </c>
      <c r="H169" s="46">
        <v>30</v>
      </c>
      <c r="I169" s="47">
        <v>1018.71</v>
      </c>
      <c r="J169" s="48">
        <v>1018.71</v>
      </c>
      <c r="K169" s="54">
        <v>24</v>
      </c>
      <c r="L169" s="25" t="str">
        <f>HYPERLINK("http://pirotehnika-optom.ru/9-batarei-salyutov-optom/4648-katyusha-100-02-kh-100.html","Просмотр")</f>
        <v>0</v>
      </c>
    </row>
    <row r="170" spans="1:12" customHeight="1" ht="11.25">
      <c r="A170" s="43">
        <v>156</v>
      </c>
      <c r="B170" s="44" t="s">
        <v>37</v>
      </c>
      <c r="C170" s="45" t="s">
        <v>37</v>
      </c>
      <c r="D170" s="43" t="s">
        <v>364</v>
      </c>
      <c r="E170" s="45" t="s">
        <v>365</v>
      </c>
      <c r="F170" s="46" t="s">
        <v>67</v>
      </c>
      <c r="G170" s="46" t="s">
        <v>37</v>
      </c>
      <c r="H170" s="46">
        <v>10</v>
      </c>
      <c r="I170" s="47">
        <v>2730</v>
      </c>
      <c r="J170" s="48">
        <v>2730</v>
      </c>
      <c r="K170" s="54">
        <v>68</v>
      </c>
      <c r="L170" s="25" t="str">
        <f>HYPERLINK("http://pirotehnika-optom.ru/9-batarei-salyutov-optom/3827-flash-12x13.html","Просмотр")</f>
        <v>0</v>
      </c>
    </row>
    <row r="171" spans="1:12" customHeight="1" ht="11.25">
      <c r="A171" s="43">
        <v>157</v>
      </c>
      <c r="B171" s="44" t="s">
        <v>37</v>
      </c>
      <c r="C171" s="45" t="s">
        <v>37</v>
      </c>
      <c r="D171" s="43" t="s">
        <v>366</v>
      </c>
      <c r="E171" s="45" t="s">
        <v>367</v>
      </c>
      <c r="F171" s="46" t="s">
        <v>67</v>
      </c>
      <c r="G171" s="46" t="s">
        <v>37</v>
      </c>
      <c r="H171" s="46">
        <v>8</v>
      </c>
      <c r="I171" s="47">
        <v>3543.75</v>
      </c>
      <c r="J171" s="48">
        <v>3543.75</v>
      </c>
      <c r="K171" s="54">
        <v>1</v>
      </c>
      <c r="L171" s="25" t="str">
        <f>HYPERLINK("http://pirotehnika-optom.ru/9-batarei-salyutov-optom/3833-flower-boom-12x19.html","Просмотр")</f>
        <v>0</v>
      </c>
    </row>
    <row r="172" spans="1:12" customHeight="1" ht="11.25">
      <c r="A172" s="43">
        <v>158</v>
      </c>
      <c r="B172" s="44" t="s">
        <v>37</v>
      </c>
      <c r="C172" s="45" t="s">
        <v>37</v>
      </c>
      <c r="D172" s="43" t="s">
        <v>368</v>
      </c>
      <c r="E172" s="45" t="s">
        <v>369</v>
      </c>
      <c r="F172" s="46" t="s">
        <v>67</v>
      </c>
      <c r="G172" s="46" t="s">
        <v>37</v>
      </c>
      <c r="H172" s="46">
        <v>8</v>
      </c>
      <c r="I172" s="47">
        <v>3885</v>
      </c>
      <c r="J172" s="48">
        <v>3885</v>
      </c>
      <c r="K172" s="54">
        <v>1</v>
      </c>
      <c r="L172" s="25" t="str">
        <f>HYPERLINK("http://pirotehnika-optom.ru/9-batarei-salyutov-optom/3842-city-light-12x19.html","Просмотр")</f>
        <v>0</v>
      </c>
    </row>
    <row r="173" spans="1:12" customHeight="1" ht="11.25">
      <c r="A173" s="43">
        <v>159</v>
      </c>
      <c r="B173" s="44" t="s">
        <v>37</v>
      </c>
      <c r="C173" s="45" t="s">
        <v>37</v>
      </c>
      <c r="D173" s="43" t="s">
        <v>370</v>
      </c>
      <c r="E173" s="45" t="s">
        <v>371</v>
      </c>
      <c r="F173" s="46" t="s">
        <v>67</v>
      </c>
      <c r="G173" s="46" t="s">
        <v>37</v>
      </c>
      <c r="H173" s="46">
        <v>1</v>
      </c>
      <c r="I173" s="47">
        <v>45570</v>
      </c>
      <c r="J173" s="48">
        <v>45570</v>
      </c>
      <c r="K173" s="54">
        <v>1</v>
      </c>
      <c r="L173" s="25" t="str">
        <f>HYPERLINK("http://pirotehnika-optom.ru/9-batarei-salyutov-optom/5489-dragocennye-kamni-gems2-x-70.html","Просмотр")</f>
        <v>0</v>
      </c>
    </row>
    <row r="174" spans="1:12" customHeight="1" ht="11.25">
      <c r="A174" s="43">
        <v>160</v>
      </c>
      <c r="B174" s="44" t="s">
        <v>37</v>
      </c>
      <c r="C174" s="45" t="s">
        <v>37</v>
      </c>
      <c r="D174" s="43" t="s">
        <v>372</v>
      </c>
      <c r="E174" s="45" t="s">
        <v>373</v>
      </c>
      <c r="F174" s="46" t="s">
        <v>67</v>
      </c>
      <c r="G174" s="46" t="s">
        <v>37</v>
      </c>
      <c r="H174" s="46">
        <v>10</v>
      </c>
      <c r="I174" s="47">
        <v>2142</v>
      </c>
      <c r="J174" s="48">
        <v>2142</v>
      </c>
      <c r="K174" s="54">
        <v>5</v>
      </c>
      <c r="L174" s="25" t="str">
        <f>HYPERLINK("http://pirotehnika-optom.ru/9-batarei-salyutov-optom/2257-velikolepnyj-mir-splendid-world12-x-13.html","Просмотр")</f>
        <v>0</v>
      </c>
    </row>
    <row r="175" spans="1:12" customHeight="1" ht="11.25">
      <c r="A175" s="43">
        <v>161</v>
      </c>
      <c r="B175" s="44" t="s">
        <v>37</v>
      </c>
      <c r="C175" s="45" t="s">
        <v>374</v>
      </c>
      <c r="D175" s="43" t="s">
        <v>375</v>
      </c>
      <c r="E175" s="45" t="s">
        <v>376</v>
      </c>
      <c r="F175" s="46" t="s">
        <v>67</v>
      </c>
      <c r="G175" s="46" t="s">
        <v>37</v>
      </c>
      <c r="H175" s="46">
        <v>12</v>
      </c>
      <c r="I175" s="47">
        <v>2982</v>
      </c>
      <c r="J175" s="48">
        <v>2982</v>
      </c>
      <c r="K175" s="54">
        <v>15</v>
      </c>
      <c r="L175" s="25" t="str">
        <f>HYPERLINK("http://pirotehnika-optom.ru/9-batarei-salyutov-optom/6093-marshmellou-03-05kh96.html","Просмотр")</f>
        <v>0</v>
      </c>
    </row>
    <row r="176" spans="1:12" customHeight="1" ht="11.25">
      <c r="A176" s="43">
        <v>162</v>
      </c>
      <c r="B176" s="44" t="s">
        <v>37</v>
      </c>
      <c r="C176" s="45" t="s">
        <v>37</v>
      </c>
      <c r="D176" s="43" t="s">
        <v>377</v>
      </c>
      <c r="E176" s="45" t="s">
        <v>378</v>
      </c>
      <c r="F176" s="46" t="s">
        <v>67</v>
      </c>
      <c r="G176" s="46" t="s">
        <v>37</v>
      </c>
      <c r="H176" s="46">
        <v>40</v>
      </c>
      <c r="I176" s="47">
        <v>645.75</v>
      </c>
      <c r="J176" s="48">
        <v>645.75</v>
      </c>
      <c r="K176" s="54">
        <v>29</v>
      </c>
      <c r="L176" s="25" t="str">
        <f>HYPERLINK("http://pirotehnika-optom.ru/9-batarei-salyutov-optom/4813-kenguru-07x8.html","Просмотр")</f>
        <v>0</v>
      </c>
    </row>
    <row r="177" spans="1:12" customHeight="1" ht="11.25">
      <c r="A177" s="43">
        <v>163</v>
      </c>
      <c r="B177" s="44" t="s">
        <v>37</v>
      </c>
      <c r="C177" s="45" t="s">
        <v>37</v>
      </c>
      <c r="D177" s="43" t="s">
        <v>379</v>
      </c>
      <c r="E177" s="45" t="s">
        <v>380</v>
      </c>
      <c r="F177" s="46" t="s">
        <v>67</v>
      </c>
      <c r="G177" s="46" t="s">
        <v>37</v>
      </c>
      <c r="H177" s="46">
        <v>40</v>
      </c>
      <c r="I177" s="47">
        <v>615</v>
      </c>
      <c r="J177" s="48">
        <v>615</v>
      </c>
      <c r="K177" s="54">
        <v>12</v>
      </c>
      <c r="L177" s="25" t="str">
        <f>HYPERLINK("http://pirotehnika-optom.ru/9-batarei-salyutov-optom/6544-krepysh-07kh8.html","Просмотр")</f>
        <v>0</v>
      </c>
    </row>
    <row r="178" spans="1:12" customHeight="1" ht="11.25">
      <c r="A178" s="43">
        <v>164</v>
      </c>
      <c r="B178" s="44" t="s">
        <v>37</v>
      </c>
      <c r="C178" s="45" t="s">
        <v>37</v>
      </c>
      <c r="D178" s="43" t="s">
        <v>381</v>
      </c>
      <c r="E178" s="45" t="s">
        <v>382</v>
      </c>
      <c r="F178" s="46" t="s">
        <v>67</v>
      </c>
      <c r="G178" s="46" t="s">
        <v>37</v>
      </c>
      <c r="H178" s="46">
        <v>40</v>
      </c>
      <c r="I178" s="47">
        <v>803.25</v>
      </c>
      <c r="J178" s="48">
        <v>803.25</v>
      </c>
      <c r="K178" s="54">
        <v>118</v>
      </c>
      <c r="L178" s="25" t="str">
        <f>HYPERLINK("http://pirotehnika-optom.ru/9-batarei-salyutov-optom/6108-zadorinka-07kh10.html","Просмотр")</f>
        <v>0</v>
      </c>
    </row>
    <row r="179" spans="1:12" customHeight="1" ht="11.25">
      <c r="A179" s="43">
        <v>165</v>
      </c>
      <c r="B179" s="44" t="s">
        <v>37</v>
      </c>
      <c r="C179" s="45" t="s">
        <v>37</v>
      </c>
      <c r="D179" s="43" t="s">
        <v>383</v>
      </c>
      <c r="E179" s="45" t="s">
        <v>384</v>
      </c>
      <c r="F179" s="46" t="s">
        <v>67</v>
      </c>
      <c r="G179" s="46" t="s">
        <v>37</v>
      </c>
      <c r="H179" s="46">
        <v>24</v>
      </c>
      <c r="I179" s="47">
        <v>1155</v>
      </c>
      <c r="J179" s="48">
        <v>1155</v>
      </c>
      <c r="K179" s="54">
        <v>19</v>
      </c>
      <c r="L179" s="25" t="str">
        <f>HYPERLINK("http://pirotehnika-optom.ru/9-batarei-salyutov-optom/5366-vozhd-krasnokozhikh-08kh10.html","Просмотр")</f>
        <v>0</v>
      </c>
    </row>
    <row r="180" spans="1:12" customHeight="1" ht="11.25">
      <c r="A180" s="43">
        <v>166</v>
      </c>
      <c r="B180" s="44" t="s">
        <v>37</v>
      </c>
      <c r="C180" s="45" t="s">
        <v>37</v>
      </c>
      <c r="D180" s="43" t="s">
        <v>385</v>
      </c>
      <c r="E180" s="45" t="s">
        <v>386</v>
      </c>
      <c r="F180" s="46" t="s">
        <v>67</v>
      </c>
      <c r="G180" s="46" t="s">
        <v>37</v>
      </c>
      <c r="H180" s="46">
        <v>24</v>
      </c>
      <c r="I180" s="47">
        <v>1102.5</v>
      </c>
      <c r="J180" s="48">
        <v>1102.5</v>
      </c>
      <c r="K180" s="54">
        <v>13</v>
      </c>
      <c r="L180" s="25" t="str">
        <f>HYPERLINK("http://pirotehnika-optom.ru/9-batarei-salyutov-optom/5367-bumerang-08kh13.html","Просмотр")</f>
        <v>0</v>
      </c>
    </row>
    <row r="181" spans="1:12" customHeight="1" ht="11.25">
      <c r="A181" s="43">
        <v>167</v>
      </c>
      <c r="B181" s="44" t="s">
        <v>37</v>
      </c>
      <c r="C181" s="45" t="s">
        <v>37</v>
      </c>
      <c r="D181" s="43" t="s">
        <v>387</v>
      </c>
      <c r="E181" s="45" t="s">
        <v>388</v>
      </c>
      <c r="F181" s="46" t="s">
        <v>67</v>
      </c>
      <c r="G181" s="46" t="s">
        <v>37</v>
      </c>
      <c r="H181" s="46">
        <v>24</v>
      </c>
      <c r="I181" s="47">
        <v>1270.5</v>
      </c>
      <c r="J181" s="48">
        <v>1270.5</v>
      </c>
      <c r="K181" s="54">
        <v>555</v>
      </c>
      <c r="L181" s="25" t="str">
        <f>HYPERLINK("http://pirotehnika-optom.ru/9-batarei-salyutov-optom/3653-anime-08kh16.html","Просмотр")</f>
        <v>0</v>
      </c>
    </row>
    <row r="182" spans="1:12" customHeight="1" ht="11.25">
      <c r="A182" s="43">
        <v>168</v>
      </c>
      <c r="B182" s="44" t="s">
        <v>37</v>
      </c>
      <c r="C182" s="45" t="s">
        <v>37</v>
      </c>
      <c r="D182" s="43" t="s">
        <v>389</v>
      </c>
      <c r="E182" s="45" t="s">
        <v>390</v>
      </c>
      <c r="F182" s="46" t="s">
        <v>67</v>
      </c>
      <c r="G182" s="46" t="s">
        <v>37</v>
      </c>
      <c r="H182" s="46">
        <v>24</v>
      </c>
      <c r="I182" s="47">
        <v>1270.5</v>
      </c>
      <c r="J182" s="48">
        <v>1270.5</v>
      </c>
      <c r="K182" s="54">
        <v>3</v>
      </c>
      <c r="L182" s="25" t="str">
        <f>HYPERLINK("http://pirotehnika-optom.ru/9-batarei-salyutov-optom/3654-origami-08kh16.html","Просмотр")</f>
        <v>0</v>
      </c>
    </row>
    <row r="183" spans="1:12" customHeight="1" ht="11.25">
      <c r="A183" s="43">
        <v>169</v>
      </c>
      <c r="B183" s="44" t="s">
        <v>37</v>
      </c>
      <c r="C183" s="45" t="s">
        <v>37</v>
      </c>
      <c r="D183" s="43" t="s">
        <v>391</v>
      </c>
      <c r="E183" s="45" t="s">
        <v>392</v>
      </c>
      <c r="F183" s="46" t="s">
        <v>67</v>
      </c>
      <c r="G183" s="46" t="s">
        <v>37</v>
      </c>
      <c r="H183" s="46">
        <v>24</v>
      </c>
      <c r="I183" s="47">
        <v>1643.25</v>
      </c>
      <c r="J183" s="48">
        <v>1643.25</v>
      </c>
      <c r="K183" s="54">
        <v>11</v>
      </c>
      <c r="L183" s="25" t="str">
        <f>HYPERLINK("http://pirotehnika-optom.ru/9-batarei-salyutov-optom/5289-laplandiya-08kh19.html","Просмотр")</f>
        <v>0</v>
      </c>
    </row>
    <row r="184" spans="1:12" customHeight="1" ht="11.25">
      <c r="A184" s="43">
        <v>170</v>
      </c>
      <c r="B184" s="44" t="s">
        <v>37</v>
      </c>
      <c r="C184" s="45" t="s">
        <v>37</v>
      </c>
      <c r="D184" s="43" t="s">
        <v>393</v>
      </c>
      <c r="E184" s="45" t="s">
        <v>394</v>
      </c>
      <c r="F184" s="46" t="s">
        <v>67</v>
      </c>
      <c r="G184" s="46" t="s">
        <v>37</v>
      </c>
      <c r="H184" s="46">
        <v>24</v>
      </c>
      <c r="I184" s="47">
        <v>1643.25</v>
      </c>
      <c r="J184" s="48">
        <v>1643.25</v>
      </c>
      <c r="K184" s="54">
        <v>2</v>
      </c>
      <c r="L184" s="25" t="str">
        <f>HYPERLINK("http://pirotehnika-optom.ru/9-batarei-salyutov-optom/5290-zimnie-alpy-08kh19.html","Просмотр")</f>
        <v>0</v>
      </c>
    </row>
    <row r="185" spans="1:12" customHeight="1" ht="11.25">
      <c r="A185" s="43">
        <v>171</v>
      </c>
      <c r="B185" s="44" t="s">
        <v>37</v>
      </c>
      <c r="C185" s="45" t="s">
        <v>37</v>
      </c>
      <c r="D185" s="43" t="s">
        <v>395</v>
      </c>
      <c r="E185" s="45" t="s">
        <v>396</v>
      </c>
      <c r="F185" s="46" t="s">
        <v>67</v>
      </c>
      <c r="G185" s="46" t="s">
        <v>37</v>
      </c>
      <c r="H185" s="46">
        <v>12</v>
      </c>
      <c r="I185" s="47">
        <v>1569.75</v>
      </c>
      <c r="J185" s="48">
        <v>1569.75</v>
      </c>
      <c r="K185" s="54">
        <v>2</v>
      </c>
      <c r="L185" s="25" t="str">
        <f>HYPERLINK("http://pirotehnika-optom.ru/9-batarei-salyutov-optom/4370-vesnushki-08kh19.html","Просмотр")</f>
        <v>0</v>
      </c>
    </row>
    <row r="186" spans="1:12" customHeight="1" ht="11.25">
      <c r="A186" s="43">
        <v>172</v>
      </c>
      <c r="B186" s="44" t="s">
        <v>37</v>
      </c>
      <c r="C186" s="45" t="s">
        <v>37</v>
      </c>
      <c r="D186" s="43" t="s">
        <v>397</v>
      </c>
      <c r="E186" s="45" t="s">
        <v>398</v>
      </c>
      <c r="F186" s="46" t="s">
        <v>67</v>
      </c>
      <c r="G186" s="46" t="s">
        <v>37</v>
      </c>
      <c r="H186" s="46">
        <v>16</v>
      </c>
      <c r="I186" s="47">
        <v>1984.5</v>
      </c>
      <c r="J186" s="48">
        <v>1984.5</v>
      </c>
      <c r="K186" s="54">
        <v>48</v>
      </c>
      <c r="L186" s="25" t="str">
        <f>HYPERLINK("http://pirotehnika-optom.ru/9-batarei-salyutov-optom/2660-feniks-08-kh-25.html","Просмотр")</f>
        <v>0</v>
      </c>
    </row>
    <row r="187" spans="1:12" customHeight="1" ht="11.25">
      <c r="A187" s="43">
        <v>173</v>
      </c>
      <c r="B187" s="44" t="s">
        <v>37</v>
      </c>
      <c r="C187" s="45" t="s">
        <v>37</v>
      </c>
      <c r="D187" s="43" t="s">
        <v>399</v>
      </c>
      <c r="E187" s="45" t="s">
        <v>400</v>
      </c>
      <c r="F187" s="46" t="s">
        <v>67</v>
      </c>
      <c r="G187" s="46" t="s">
        <v>37</v>
      </c>
      <c r="H187" s="46">
        <v>16</v>
      </c>
      <c r="I187" s="47">
        <v>1984.5</v>
      </c>
      <c r="J187" s="48">
        <v>1984.5</v>
      </c>
      <c r="K187" s="54">
        <v>46</v>
      </c>
      <c r="L187" s="25" t="str">
        <f>HYPERLINK("http://pirotehnika-optom.ru/9-batarei-salyutov-optom/4399-khod-konyom-08kh25.html","Просмотр")</f>
        <v>0</v>
      </c>
    </row>
    <row r="188" spans="1:12" customHeight="1" ht="11.25">
      <c r="A188" s="43">
        <v>174</v>
      </c>
      <c r="B188" s="44" t="s">
        <v>37</v>
      </c>
      <c r="C188" s="45" t="s">
        <v>37</v>
      </c>
      <c r="D188" s="43" t="s">
        <v>401</v>
      </c>
      <c r="E188" s="45" t="s">
        <v>402</v>
      </c>
      <c r="F188" s="46" t="s">
        <v>67</v>
      </c>
      <c r="G188" s="46" t="s">
        <v>37</v>
      </c>
      <c r="H188" s="46">
        <v>16</v>
      </c>
      <c r="I188" s="47">
        <v>1984.5</v>
      </c>
      <c r="J188" s="48">
        <v>1984.5</v>
      </c>
      <c r="K188" s="54">
        <v>11</v>
      </c>
      <c r="L188" s="25" t="str">
        <f>HYPERLINK("http://pirotehnika-optom.ru/9-batarei-salyutov-optom/4810-fint-ushami-08x25.html","Просмотр")</f>
        <v>0</v>
      </c>
    </row>
    <row r="189" spans="1:12" customHeight="1" ht="11.25">
      <c r="A189" s="43">
        <v>175</v>
      </c>
      <c r="B189" s="44" t="s">
        <v>37</v>
      </c>
      <c r="C189" s="45" t="s">
        <v>37</v>
      </c>
      <c r="D189" s="43" t="s">
        <v>403</v>
      </c>
      <c r="E189" s="45" t="s">
        <v>404</v>
      </c>
      <c r="F189" s="46" t="s">
        <v>67</v>
      </c>
      <c r="G189" s="46" t="s">
        <v>37</v>
      </c>
      <c r="H189" s="46">
        <v>12</v>
      </c>
      <c r="I189" s="47">
        <v>3100</v>
      </c>
      <c r="J189" s="48">
        <v>3100</v>
      </c>
      <c r="K189" s="54">
        <v>1</v>
      </c>
      <c r="L189" s="25" t="str">
        <f>HYPERLINK("http://pirotehnika-optom.ru/9-batarei-salyutov-optom/6546-ledyanoe-ozhidanie-08kh36.html","Просмотр")</f>
        <v>0</v>
      </c>
    </row>
    <row r="190" spans="1:12" customHeight="1" ht="11.25">
      <c r="A190" s="43">
        <v>176</v>
      </c>
      <c r="B190" s="44" t="s">
        <v>37</v>
      </c>
      <c r="C190" s="45" t="s">
        <v>37</v>
      </c>
      <c r="D190" s="43" t="s">
        <v>405</v>
      </c>
      <c r="E190" s="45" t="s">
        <v>406</v>
      </c>
      <c r="F190" s="46" t="s">
        <v>67</v>
      </c>
      <c r="G190" s="46" t="s">
        <v>37</v>
      </c>
      <c r="H190" s="46">
        <v>18</v>
      </c>
      <c r="I190" s="47">
        <v>2336.25</v>
      </c>
      <c r="J190" s="48">
        <v>2336.25</v>
      </c>
      <c r="K190" s="54">
        <v>11</v>
      </c>
      <c r="L190" s="25" t="str">
        <f>HYPERLINK("http://pirotehnika-optom.ru/9-batarei-salyutov-optom/5654-dedmorozovka-11-kh-19.html","Просмотр")</f>
        <v>0</v>
      </c>
    </row>
    <row r="191" spans="1:12" customHeight="1" ht="11.25">
      <c r="A191" s="43">
        <v>177</v>
      </c>
      <c r="B191" s="44" t="s">
        <v>37</v>
      </c>
      <c r="C191" s="45" t="s">
        <v>37</v>
      </c>
      <c r="D191" s="43" t="s">
        <v>407</v>
      </c>
      <c r="E191" s="45" t="s">
        <v>408</v>
      </c>
      <c r="F191" s="46" t="s">
        <v>67</v>
      </c>
      <c r="G191" s="46" t="s">
        <v>37</v>
      </c>
      <c r="H191" s="46">
        <v>8</v>
      </c>
      <c r="I191" s="47">
        <v>4551.75</v>
      </c>
      <c r="J191" s="48">
        <v>4551.75</v>
      </c>
      <c r="K191" s="54">
        <v>1</v>
      </c>
      <c r="L191" s="25" t="str">
        <f>HYPERLINK("http://pirotehnika-optom.ru/9-batarei-salyutov-optom/6096-moya-otrada-11-kh-36.html","Просмотр")</f>
        <v>0</v>
      </c>
    </row>
    <row r="192" spans="1:12" customHeight="1" ht="11.25">
      <c r="A192" s="43">
        <v>178</v>
      </c>
      <c r="B192" s="44" t="s">
        <v>37</v>
      </c>
      <c r="C192" s="45" t="s">
        <v>37</v>
      </c>
      <c r="D192" s="43" t="s">
        <v>409</v>
      </c>
      <c r="E192" s="45" t="s">
        <v>410</v>
      </c>
      <c r="F192" s="46" t="s">
        <v>67</v>
      </c>
      <c r="G192" s="46" t="s">
        <v>37</v>
      </c>
      <c r="H192" s="46">
        <v>6</v>
      </c>
      <c r="I192" s="47">
        <v>6063.75</v>
      </c>
      <c r="J192" s="48">
        <v>6063.75</v>
      </c>
      <c r="K192" s="54">
        <v>9</v>
      </c>
      <c r="L192" s="25" t="str">
        <f>HYPERLINK("http://pirotehnika-optom.ru/9-batarei-salyutov-optom/5655-salyut-dlya-schastlivykh-mgnovenij-11kh48.html","Просмотр")</f>
        <v>0</v>
      </c>
    </row>
    <row r="193" spans="1:12" customHeight="1" ht="11.25">
      <c r="A193" s="43">
        <v>179</v>
      </c>
      <c r="B193" s="44" t="s">
        <v>37</v>
      </c>
      <c r="C193" s="45" t="s">
        <v>37</v>
      </c>
      <c r="D193" s="43" t="s">
        <v>411</v>
      </c>
      <c r="E193" s="45" t="s">
        <v>412</v>
      </c>
      <c r="F193" s="46" t="s">
        <v>67</v>
      </c>
      <c r="G193" s="46" t="s">
        <v>37</v>
      </c>
      <c r="H193" s="46">
        <v>12</v>
      </c>
      <c r="I193" s="47">
        <v>2604</v>
      </c>
      <c r="J193" s="48">
        <v>2604</v>
      </c>
      <c r="K193" s="54">
        <v>36</v>
      </c>
      <c r="L193" s="25" t="str">
        <f>HYPERLINK("http://pirotehnika-optom.ru/9-batarei-salyutov-optom/4805-chili-11x19.html","Просмотр")</f>
        <v>0</v>
      </c>
    </row>
    <row r="194" spans="1:12" customHeight="1" ht="11.25">
      <c r="A194" s="43">
        <v>180</v>
      </c>
      <c r="B194" s="44" t="s">
        <v>37</v>
      </c>
      <c r="C194" s="45" t="s">
        <v>413</v>
      </c>
      <c r="D194" s="43" t="s">
        <v>414</v>
      </c>
      <c r="E194" s="45" t="s">
        <v>415</v>
      </c>
      <c r="F194" s="46" t="s">
        <v>67</v>
      </c>
      <c r="G194" s="46" t="s">
        <v>37</v>
      </c>
      <c r="H194" s="46">
        <v>8</v>
      </c>
      <c r="I194" s="47">
        <v>3255</v>
      </c>
      <c r="J194" s="48">
        <v>3255</v>
      </c>
      <c r="K194" s="54">
        <v>1</v>
      </c>
      <c r="L194" s="25" t="str">
        <f>HYPERLINK("http://pirotehnika-optom.ru/9-batarei-salyutov-optom/6229-bolivar-08kh36.html","Просмотр")</f>
        <v>0</v>
      </c>
    </row>
    <row r="195" spans="1:12" customHeight="1" ht="11.25">
      <c r="A195" s="43">
        <v>181</v>
      </c>
      <c r="B195" s="44" t="s">
        <v>37</v>
      </c>
      <c r="C195" s="45" t="s">
        <v>37</v>
      </c>
      <c r="D195" s="43" t="s">
        <v>416</v>
      </c>
      <c r="E195" s="45" t="s">
        <v>417</v>
      </c>
      <c r="F195" s="46" t="s">
        <v>67</v>
      </c>
      <c r="G195" s="46" t="s">
        <v>37</v>
      </c>
      <c r="H195" s="46">
        <v>8</v>
      </c>
      <c r="I195" s="47">
        <v>3281.25</v>
      </c>
      <c r="J195" s="48">
        <v>3281.25</v>
      </c>
      <c r="K195" s="54">
        <v>24</v>
      </c>
      <c r="L195" s="25" t="str">
        <f>HYPERLINK("http://pirotehnika-optom.ru/9-batarei-salyutov-optom/5377-dzhuma-mubaraks-blagoslovennoj-pyatnicej-09kh35.html","Просмотр")</f>
        <v>0</v>
      </c>
    </row>
    <row r="196" spans="1:12" customHeight="1" ht="11.25">
      <c r="A196" s="43">
        <v>182</v>
      </c>
      <c r="B196" s="44" t="s">
        <v>37</v>
      </c>
      <c r="C196" s="45" t="s">
        <v>37</v>
      </c>
      <c r="D196" s="43" t="s">
        <v>418</v>
      </c>
      <c r="E196" s="45" t="s">
        <v>419</v>
      </c>
      <c r="F196" s="46" t="s">
        <v>67</v>
      </c>
      <c r="G196" s="46" t="s">
        <v>37</v>
      </c>
      <c r="H196" s="46">
        <v>4</v>
      </c>
      <c r="I196" s="47">
        <v>4305</v>
      </c>
      <c r="J196" s="48">
        <v>4305</v>
      </c>
      <c r="K196" s="54">
        <v>20</v>
      </c>
      <c r="L196" s="25" t="str">
        <f>HYPERLINK("http://pirotehnika-optom.ru/9-batarei-salyutov-optom/6230-sombrero-08kh49.html","Просмотр")</f>
        <v>0</v>
      </c>
    </row>
    <row r="197" spans="1:12" customHeight="1" ht="11.25">
      <c r="A197" s="43">
        <v>183</v>
      </c>
      <c r="B197" s="44" t="s">
        <v>37</v>
      </c>
      <c r="C197" s="45" t="s">
        <v>37</v>
      </c>
      <c r="D197" s="43" t="s">
        <v>420</v>
      </c>
      <c r="E197" s="45" t="s">
        <v>421</v>
      </c>
      <c r="F197" s="46" t="s">
        <v>67</v>
      </c>
      <c r="G197" s="46" t="s">
        <v>37</v>
      </c>
      <c r="H197" s="46">
        <v>18</v>
      </c>
      <c r="I197" s="47">
        <v>1958.25</v>
      </c>
      <c r="J197" s="48">
        <v>1958.25</v>
      </c>
      <c r="K197" s="54">
        <v>373</v>
      </c>
      <c r="L197" s="25" t="str">
        <f>HYPERLINK("http://pirotehnika-optom.ru/9-batarei-salyutov-optom/5378-krasotka-11kh16.html","Просмотр")</f>
        <v>0</v>
      </c>
    </row>
    <row r="198" spans="1:12" customHeight="1" ht="11.25">
      <c r="A198" s="43">
        <v>184</v>
      </c>
      <c r="B198" s="44" t="s">
        <v>37</v>
      </c>
      <c r="C198" s="45" t="s">
        <v>37</v>
      </c>
      <c r="D198" s="43" t="s">
        <v>422</v>
      </c>
      <c r="E198" s="45" t="s">
        <v>423</v>
      </c>
      <c r="F198" s="46" t="s">
        <v>67</v>
      </c>
      <c r="G198" s="46" t="s">
        <v>37</v>
      </c>
      <c r="H198" s="46">
        <v>18</v>
      </c>
      <c r="I198" s="47">
        <v>2331</v>
      </c>
      <c r="J198" s="48">
        <v>2331</v>
      </c>
      <c r="K198" s="54">
        <v>52</v>
      </c>
      <c r="L198" s="25" t="str">
        <f>HYPERLINK("http://pirotehnika-optom.ru/9-batarei-salyutov-optom/5379-schaste-est-11kh19.html","Просмотр")</f>
        <v>0</v>
      </c>
    </row>
    <row r="199" spans="1:12" customHeight="1" ht="11.25">
      <c r="A199" s="43">
        <v>185</v>
      </c>
      <c r="B199" s="44" t="s">
        <v>37</v>
      </c>
      <c r="C199" s="45" t="s">
        <v>37</v>
      </c>
      <c r="D199" s="43" t="s">
        <v>424</v>
      </c>
      <c r="E199" s="45" t="s">
        <v>425</v>
      </c>
      <c r="F199" s="46" t="s">
        <v>67</v>
      </c>
      <c r="G199" s="46" t="s">
        <v>37</v>
      </c>
      <c r="H199" s="46">
        <v>12</v>
      </c>
      <c r="I199" s="47">
        <v>2604</v>
      </c>
      <c r="J199" s="48">
        <v>2604</v>
      </c>
      <c r="K199" s="54">
        <v>5</v>
      </c>
      <c r="L199" s="25" t="str">
        <f>HYPERLINK("http://pirotehnika-optom.ru/9-batarei-salyutov-optom/5381-na-chasakh-nol-nol-11kh19.html","Просмотр")</f>
        <v>0</v>
      </c>
    </row>
    <row r="200" spans="1:12" customHeight="1" ht="11.25">
      <c r="A200" s="43">
        <v>186</v>
      </c>
      <c r="B200" s="44" t="s">
        <v>37</v>
      </c>
      <c r="C200" s="45" t="s">
        <v>37</v>
      </c>
      <c r="D200" s="43" t="s">
        <v>426</v>
      </c>
      <c r="E200" s="45" t="s">
        <v>427</v>
      </c>
      <c r="F200" s="46" t="s">
        <v>67</v>
      </c>
      <c r="G200" s="46" t="s">
        <v>37</v>
      </c>
      <c r="H200" s="46">
        <v>8</v>
      </c>
      <c r="I200" s="47">
        <v>3428.25</v>
      </c>
      <c r="J200" s="48">
        <v>3428.25</v>
      </c>
      <c r="K200" s="54">
        <v>23</v>
      </c>
      <c r="L200" s="25" t="str">
        <f>HYPERLINK("http://pirotehnika-optom.ru/9-batarei-salyutov-optom/5382-krasivo-i-tochka-11kh25.html","Просмотр")</f>
        <v>0</v>
      </c>
    </row>
    <row r="201" spans="1:12" customHeight="1" ht="11.25">
      <c r="A201" s="43">
        <v>187</v>
      </c>
      <c r="B201" s="44" t="s">
        <v>37</v>
      </c>
      <c r="C201" s="45" t="s">
        <v>37</v>
      </c>
      <c r="D201" s="43" t="s">
        <v>428</v>
      </c>
      <c r="E201" s="45" t="s">
        <v>429</v>
      </c>
      <c r="F201" s="46" t="s">
        <v>67</v>
      </c>
      <c r="G201" s="46" t="s">
        <v>37</v>
      </c>
      <c r="H201" s="46">
        <v>2</v>
      </c>
      <c r="I201" s="47">
        <v>13849.5</v>
      </c>
      <c r="J201" s="48">
        <v>13849.5</v>
      </c>
      <c r="K201" s="54">
        <v>8</v>
      </c>
      <c r="L201" s="25" t="str">
        <f>HYPERLINK("http://pirotehnika-optom.ru/9-batarei-salyutov-optom/5362-antaliya-11kh100.html","Просмотр")</f>
        <v>0</v>
      </c>
    </row>
    <row r="202" spans="1:12" customHeight="1" ht="11.25">
      <c r="A202" s="43">
        <v>188</v>
      </c>
      <c r="B202" s="44" t="s">
        <v>430</v>
      </c>
      <c r="C202" s="45" t="s">
        <v>64</v>
      </c>
      <c r="D202" s="43" t="s">
        <v>431</v>
      </c>
      <c r="E202" s="45" t="s">
        <v>432</v>
      </c>
      <c r="F202" s="46" t="s">
        <v>67</v>
      </c>
      <c r="G202" s="46" t="s">
        <v>37</v>
      </c>
      <c r="H202" s="46">
        <v>36</v>
      </c>
      <c r="I202" s="47">
        <v>500</v>
      </c>
      <c r="J202" s="48">
        <v>500</v>
      </c>
      <c r="K202" s="54">
        <v>24</v>
      </c>
      <c r="L202" s="25" t="str">
        <f>HYPERLINK("http://pirotehnika-optom.ru/10-bengalskie-svechi-optom/6564-zvyozdnyj-dozhd.html","Просмотр")</f>
        <v>0</v>
      </c>
    </row>
    <row r="203" spans="1:12" customHeight="1" ht="11.25">
      <c r="A203" s="43">
        <v>189</v>
      </c>
      <c r="B203" s="44" t="s">
        <v>37</v>
      </c>
      <c r="C203" s="45" t="s">
        <v>79</v>
      </c>
      <c r="D203" s="43" t="s">
        <v>433</v>
      </c>
      <c r="E203" s="45" t="s">
        <v>434</v>
      </c>
      <c r="F203" s="46" t="s">
        <v>36</v>
      </c>
      <c r="G203" s="46">
        <v>3</v>
      </c>
      <c r="H203" s="46">
        <v>50</v>
      </c>
      <c r="I203" s="47">
        <v>250.95</v>
      </c>
      <c r="J203" s="48">
        <v>83.65000000000001</v>
      </c>
      <c r="K203" s="54">
        <v>60</v>
      </c>
      <c r="L203" s="25" t="str">
        <f>HYPERLINK("http://pirotehnika-optom.ru/10-bengalskie-svechi-optom/1574-beng-svechi-400-pryamougolnaya.html","Просмотр")</f>
        <v>0</v>
      </c>
    </row>
    <row r="204" spans="1:12" customHeight="1" ht="11.25">
      <c r="A204" s="43">
        <v>190</v>
      </c>
      <c r="B204" s="44" t="s">
        <v>37</v>
      </c>
      <c r="C204" s="45" t="s">
        <v>37</v>
      </c>
      <c r="D204" s="43" t="s">
        <v>435</v>
      </c>
      <c r="E204" s="45" t="s">
        <v>436</v>
      </c>
      <c r="F204" s="46" t="s">
        <v>36</v>
      </c>
      <c r="G204" s="46">
        <v>3</v>
      </c>
      <c r="H204" s="46">
        <v>20</v>
      </c>
      <c r="I204" s="47">
        <v>315</v>
      </c>
      <c r="J204" s="48">
        <v>105</v>
      </c>
      <c r="K204" s="54">
        <v>45</v>
      </c>
      <c r="L204" s="25" t="str">
        <f>HYPERLINK("http://pirotehnika-optom.ru/10-bengalskie-svechi-optom/1577-beng-svechi-600-pryamougolnaya.html","Просмотр")</f>
        <v>0</v>
      </c>
    </row>
    <row r="205" spans="1:12" customHeight="1" ht="11.25">
      <c r="A205" s="43">
        <v>191</v>
      </c>
      <c r="B205" s="44" t="s">
        <v>37</v>
      </c>
      <c r="C205" s="45" t="s">
        <v>37</v>
      </c>
      <c r="D205" s="43" t="s">
        <v>437</v>
      </c>
      <c r="E205" s="45" t="s">
        <v>438</v>
      </c>
      <c r="F205" s="46" t="s">
        <v>36</v>
      </c>
      <c r="G205" s="46">
        <v>6</v>
      </c>
      <c r="H205" s="46">
        <v>200</v>
      </c>
      <c r="I205" s="47">
        <v>32.55</v>
      </c>
      <c r="J205" s="48">
        <v>5.43</v>
      </c>
      <c r="K205" s="54">
        <v>1023</v>
      </c>
      <c r="L205" s="25" t="str">
        <f>HYPERLINK("http://pirotehnika-optom.ru/10-bengalskie-svechi-optom/1578-beng-svechi-170.html","Просмотр")</f>
        <v>0</v>
      </c>
    </row>
    <row r="206" spans="1:12" customHeight="1" ht="11.25">
      <c r="A206" s="43">
        <v>192</v>
      </c>
      <c r="B206" s="44" t="s">
        <v>37</v>
      </c>
      <c r="C206" s="45" t="s">
        <v>37</v>
      </c>
      <c r="D206" s="43" t="s">
        <v>439</v>
      </c>
      <c r="E206" s="45" t="s">
        <v>440</v>
      </c>
      <c r="F206" s="46" t="s">
        <v>36</v>
      </c>
      <c r="G206" s="46">
        <v>6</v>
      </c>
      <c r="H206" s="46">
        <v>200</v>
      </c>
      <c r="I206" s="47">
        <v>48.87</v>
      </c>
      <c r="J206" s="48">
        <v>8.140000000000001</v>
      </c>
      <c r="K206" s="54">
        <v>514</v>
      </c>
      <c r="L206" s="25" t="str">
        <f>HYPERLINK("http://pirotehnika-optom.ru/10-bengalskie-svechi-optom/1581-beng-svechi-170-spektr-raznocv.html","Просмотр")</f>
        <v>0</v>
      </c>
    </row>
    <row r="207" spans="1:12" customHeight="1" ht="11.25">
      <c r="A207" s="43">
        <v>193</v>
      </c>
      <c r="B207" s="44" t="s">
        <v>37</v>
      </c>
      <c r="C207" s="45" t="s">
        <v>37</v>
      </c>
      <c r="D207" s="43" t="s">
        <v>441</v>
      </c>
      <c r="E207" s="45" t="s">
        <v>442</v>
      </c>
      <c r="F207" s="46" t="s">
        <v>36</v>
      </c>
      <c r="G207" s="46">
        <v>6</v>
      </c>
      <c r="H207" s="46">
        <v>200</v>
      </c>
      <c r="I207" s="47">
        <v>59.12</v>
      </c>
      <c r="J207" s="48">
        <v>9.85</v>
      </c>
      <c r="K207" s="54">
        <v>438</v>
      </c>
      <c r="L207" s="25" t="str">
        <f>HYPERLINK("http://pirotehnika-optom.ru/10-bengalskie-svechi-optom/1583-beng-svechi-210-spektr-raznocv.html","Просмотр")</f>
        <v>0</v>
      </c>
    </row>
    <row r="208" spans="1:12" customHeight="1" ht="11.25">
      <c r="A208" s="43">
        <v>194</v>
      </c>
      <c r="B208" s="44" t="s">
        <v>37</v>
      </c>
      <c r="C208" s="45" t="s">
        <v>37</v>
      </c>
      <c r="D208" s="43" t="s">
        <v>443</v>
      </c>
      <c r="E208" s="45" t="s">
        <v>444</v>
      </c>
      <c r="F208" s="46" t="s">
        <v>36</v>
      </c>
      <c r="G208" s="46">
        <v>2</v>
      </c>
      <c r="H208" s="46">
        <v>100</v>
      </c>
      <c r="I208" s="47">
        <v>88.04000000000001</v>
      </c>
      <c r="J208" s="48">
        <v>44.02</v>
      </c>
      <c r="K208" s="54">
        <v>61</v>
      </c>
      <c r="L208" s="25" t="str">
        <f>HYPERLINK("http://pirotehnika-optom.ru/10-bengalskie-svechi-optom/1584-beng-svechi-zvezdochka-figurnaya.html","Просмотр")</f>
        <v>0</v>
      </c>
    </row>
    <row r="209" spans="1:12" customHeight="1" ht="11.25">
      <c r="A209" s="43">
        <v>195</v>
      </c>
      <c r="B209" s="44" t="s">
        <v>37</v>
      </c>
      <c r="C209" s="45" t="s">
        <v>37</v>
      </c>
      <c r="D209" s="43" t="s">
        <v>445</v>
      </c>
      <c r="E209" s="45" t="s">
        <v>446</v>
      </c>
      <c r="F209" s="46" t="s">
        <v>36</v>
      </c>
      <c r="G209" s="46">
        <v>2</v>
      </c>
      <c r="H209" s="46">
        <v>100</v>
      </c>
      <c r="I209" s="47">
        <v>88.04000000000001</v>
      </c>
      <c r="J209" s="48">
        <v>44.02</v>
      </c>
      <c r="K209" s="54">
        <v>107</v>
      </c>
      <c r="L209" s="25" t="str">
        <f>HYPERLINK("http://pirotehnika-optom.ru/10-bengalskie-svechi-optom/1585-beng-svechi-serdechko-figurnaya.html","Просмотр")</f>
        <v>0</v>
      </c>
    </row>
    <row r="210" spans="1:12" customHeight="1" ht="11.25">
      <c r="A210" s="43">
        <v>196</v>
      </c>
      <c r="B210" s="44" t="s">
        <v>37</v>
      </c>
      <c r="C210" s="45" t="s">
        <v>37</v>
      </c>
      <c r="D210" s="43" t="s">
        <v>447</v>
      </c>
      <c r="E210" s="45" t="s">
        <v>448</v>
      </c>
      <c r="F210" s="46" t="s">
        <v>36</v>
      </c>
      <c r="G210" s="46">
        <v>2</v>
      </c>
      <c r="H210" s="46">
        <v>100</v>
      </c>
      <c r="I210" s="47">
        <v>89.25</v>
      </c>
      <c r="J210" s="48">
        <v>44.63</v>
      </c>
      <c r="K210" s="54">
        <v>111</v>
      </c>
      <c r="L210" s="25" t="str">
        <f>HYPERLINK("http://pirotehnika-optom.ru/10-bengalskie-svechi-optom/1586-beng-svechi-elochka-figurnaya.html","Просмотр")</f>
        <v>0</v>
      </c>
    </row>
    <row r="211" spans="1:12" customHeight="1" ht="11.25">
      <c r="A211" s="43">
        <v>197</v>
      </c>
      <c r="B211" s="44" t="s">
        <v>37</v>
      </c>
      <c r="C211" s="45" t="s">
        <v>37</v>
      </c>
      <c r="D211" s="43" t="s">
        <v>449</v>
      </c>
      <c r="E211" s="45" t="s">
        <v>450</v>
      </c>
      <c r="F211" s="46" t="s">
        <v>36</v>
      </c>
      <c r="G211" s="46">
        <v>6</v>
      </c>
      <c r="H211" s="46">
        <v>200</v>
      </c>
      <c r="I211" s="47">
        <v>49.35</v>
      </c>
      <c r="J211" s="48">
        <v>8.23</v>
      </c>
      <c r="K211" s="54">
        <v>434</v>
      </c>
      <c r="L211" s="25" t="str">
        <f>HYPERLINK("http://pirotehnika-optom.ru/10-bengalskie-svechi-optom/1964-svecha-bengalskaya-160.html","Просмотр")</f>
        <v>0</v>
      </c>
    </row>
    <row r="212" spans="1:12" customHeight="1" ht="11.25">
      <c r="A212" s="43">
        <v>198</v>
      </c>
      <c r="B212" s="44" t="s">
        <v>37</v>
      </c>
      <c r="C212" s="45" t="s">
        <v>37</v>
      </c>
      <c r="D212" s="43" t="s">
        <v>451</v>
      </c>
      <c r="E212" s="45" t="s">
        <v>452</v>
      </c>
      <c r="F212" s="46" t="s">
        <v>36</v>
      </c>
      <c r="G212" s="46">
        <v>6</v>
      </c>
      <c r="H212" s="46">
        <v>200</v>
      </c>
      <c r="I212" s="47">
        <v>58.8</v>
      </c>
      <c r="J212" s="48">
        <v>9.800000000000001</v>
      </c>
      <c r="K212" s="54">
        <v>49</v>
      </c>
      <c r="L212" s="25" t="str">
        <f>HYPERLINK("http://pirotehnika-optom.ru/10-bengalskie-svechi-optom/4653-svecha-bengalskaya-cvetoplamennaya-160.html","Просмотр")</f>
        <v>0</v>
      </c>
    </row>
    <row r="213" spans="1:12" customHeight="1" ht="11.25">
      <c r="A213" s="43">
        <v>199</v>
      </c>
      <c r="B213" s="44" t="s">
        <v>37</v>
      </c>
      <c r="C213" s="45" t="s">
        <v>84</v>
      </c>
      <c r="D213" s="43" t="s">
        <v>453</v>
      </c>
      <c r="E213" s="45" t="s">
        <v>454</v>
      </c>
      <c r="F213" s="46" t="s">
        <v>36</v>
      </c>
      <c r="G213" s="46">
        <v>2</v>
      </c>
      <c r="H213" s="46">
        <v>150</v>
      </c>
      <c r="I213" s="47">
        <v>115.5</v>
      </c>
      <c r="J213" s="48">
        <v>57.75</v>
      </c>
      <c r="K213" s="54">
        <v>249</v>
      </c>
      <c r="L213" s="25" t="str">
        <f>HYPERLINK("http://pirotehnika-optom.ru/10-bengalskie-svechi-optom/5165-christmas-tree-sparkler-2-sht.html","Просмотр")</f>
        <v>0</v>
      </c>
    </row>
    <row r="214" spans="1:12" customHeight="1" ht="11.25">
      <c r="A214" s="43">
        <v>200</v>
      </c>
      <c r="B214" s="44" t="s">
        <v>37</v>
      </c>
      <c r="C214" s="45" t="s">
        <v>37</v>
      </c>
      <c r="D214" s="43" t="s">
        <v>455</v>
      </c>
      <c r="E214" s="45" t="s">
        <v>456</v>
      </c>
      <c r="F214" s="46" t="s">
        <v>36</v>
      </c>
      <c r="G214" s="46">
        <v>2</v>
      </c>
      <c r="H214" s="46">
        <v>150</v>
      </c>
      <c r="I214" s="47">
        <v>115.5</v>
      </c>
      <c r="J214" s="48">
        <v>57.75</v>
      </c>
      <c r="K214" s="54">
        <v>259</v>
      </c>
      <c r="L214" s="25" t="str">
        <f>HYPERLINK("http://pirotehnika-optom.ru/10-bengalskie-svechi-optom/5163-heart-sparkler-2-sht.html","Просмотр")</f>
        <v>0</v>
      </c>
    </row>
    <row r="215" spans="1:12" customHeight="1" ht="11.25">
      <c r="A215" s="43">
        <v>201</v>
      </c>
      <c r="B215" s="44" t="s">
        <v>37</v>
      </c>
      <c r="C215" s="45" t="s">
        <v>37</v>
      </c>
      <c r="D215" s="43" t="s">
        <v>457</v>
      </c>
      <c r="E215" s="45" t="s">
        <v>458</v>
      </c>
      <c r="F215" s="46" t="s">
        <v>36</v>
      </c>
      <c r="G215" s="46">
        <v>2</v>
      </c>
      <c r="H215" s="46">
        <v>150</v>
      </c>
      <c r="I215" s="47">
        <v>115.5</v>
      </c>
      <c r="J215" s="48">
        <v>57.75</v>
      </c>
      <c r="K215" s="54">
        <v>346</v>
      </c>
      <c r="L215" s="25" t="str">
        <f>HYPERLINK("http://pirotehnika-optom.ru/10-bengalskie-svechi-optom/5164-star-sparkler-2-sht.html","Просмотр")</f>
        <v>0</v>
      </c>
    </row>
    <row r="216" spans="1:12" customHeight="1" ht="11.25">
      <c r="A216" s="43">
        <v>202</v>
      </c>
      <c r="B216" s="44" t="s">
        <v>459</v>
      </c>
      <c r="C216" s="45" t="s">
        <v>79</v>
      </c>
      <c r="D216" s="43" t="s">
        <v>460</v>
      </c>
      <c r="E216" s="45" t="s">
        <v>461</v>
      </c>
      <c r="F216" s="46" t="s">
        <v>36</v>
      </c>
      <c r="G216" s="46">
        <v>3</v>
      </c>
      <c r="H216" s="46">
        <v>150</v>
      </c>
      <c r="I216" s="47">
        <v>152.78</v>
      </c>
      <c r="J216" s="48">
        <v>50.93</v>
      </c>
      <c r="K216" s="54">
        <v>154</v>
      </c>
      <c r="L216" s="25" t="str">
        <f>HYPERLINK("http://pirotehnika-optom.ru/11-khlopushki-optom/2137-tr106-khlopushka-super.html","Просмотр")</f>
        <v>0</v>
      </c>
    </row>
    <row r="217" spans="1:12" customHeight="1" ht="11.25">
      <c r="A217" s="43">
        <v>203</v>
      </c>
      <c r="B217" s="44" t="s">
        <v>37</v>
      </c>
      <c r="C217" s="45" t="s">
        <v>37</v>
      </c>
      <c r="D217" s="43" t="s">
        <v>462</v>
      </c>
      <c r="E217" s="45" t="s">
        <v>463</v>
      </c>
      <c r="F217" s="46" t="s">
        <v>36</v>
      </c>
      <c r="G217" s="46">
        <v>3</v>
      </c>
      <c r="H217" s="46">
        <v>150</v>
      </c>
      <c r="I217" s="47">
        <v>208.95</v>
      </c>
      <c r="J217" s="48">
        <v>69.65000000000001</v>
      </c>
      <c r="K217" s="54">
        <v>14</v>
      </c>
      <c r="L217" s="25" t="str">
        <f>HYPERLINK("http://pirotehnika-optom.ru/11-khlopushki-optom/1566-khlopushka-super-s-serpantinom.html","Просмотр")</f>
        <v>0</v>
      </c>
    </row>
    <row r="218" spans="1:12" customHeight="1" ht="11.25">
      <c r="A218" s="43">
        <v>204</v>
      </c>
      <c r="B218" s="44" t="s">
        <v>37</v>
      </c>
      <c r="C218" s="45" t="s">
        <v>37</v>
      </c>
      <c r="D218" s="43" t="s">
        <v>464</v>
      </c>
      <c r="E218" s="45" t="s">
        <v>465</v>
      </c>
      <c r="F218" s="46" t="s">
        <v>67</v>
      </c>
      <c r="G218" s="46" t="s">
        <v>37</v>
      </c>
      <c r="H218" s="46">
        <v>116</v>
      </c>
      <c r="I218" s="47">
        <v>82.11</v>
      </c>
      <c r="J218" s="48">
        <v>82.11</v>
      </c>
      <c r="K218" s="54">
        <v>162</v>
      </c>
      <c r="L218" s="25" t="str">
        <f>HYPERLINK("http://pirotehnika-optom.ru/11-khlopushki-optom/1567-khlopushka-maksi-s-syurprizom-maska.html","Просмотр")</f>
        <v>0</v>
      </c>
    </row>
    <row r="219" spans="1:12" customHeight="1" ht="11.25">
      <c r="A219" s="43">
        <v>205</v>
      </c>
      <c r="B219" s="44" t="s">
        <v>37</v>
      </c>
      <c r="C219" s="45" t="s">
        <v>37</v>
      </c>
      <c r="D219" s="43" t="s">
        <v>466</v>
      </c>
      <c r="E219" s="45" t="s">
        <v>467</v>
      </c>
      <c r="F219" s="46" t="s">
        <v>67</v>
      </c>
      <c r="G219" s="46" t="s">
        <v>37</v>
      </c>
      <c r="H219" s="46">
        <v>116</v>
      </c>
      <c r="I219" s="47">
        <v>89.56999999999999</v>
      </c>
      <c r="J219" s="48">
        <v>89.56999999999999</v>
      </c>
      <c r="K219" s="54">
        <v>213</v>
      </c>
      <c r="L219" s="25" t="str">
        <f>HYPERLINK("http://pirotehnika-optom.ru/11-khlopushki-optom/1568-khlopushka-maksi-s-serpantinom.html","Просмотр")</f>
        <v>0</v>
      </c>
    </row>
    <row r="220" spans="1:12" customHeight="1" ht="11.25">
      <c r="A220" s="43">
        <v>206</v>
      </c>
      <c r="B220" s="44" t="s">
        <v>37</v>
      </c>
      <c r="C220" s="45" t="s">
        <v>37</v>
      </c>
      <c r="D220" s="43" t="s">
        <v>468</v>
      </c>
      <c r="E220" s="45" t="s">
        <v>469</v>
      </c>
      <c r="F220" s="46" t="s">
        <v>36</v>
      </c>
      <c r="G220" s="46">
        <v>3</v>
      </c>
      <c r="H220" s="46">
        <v>90</v>
      </c>
      <c r="I220" s="47">
        <v>237.83</v>
      </c>
      <c r="J220" s="48">
        <v>79.28</v>
      </c>
      <c r="K220" s="54">
        <v>23</v>
      </c>
      <c r="L220" s="25" t="str">
        <f>HYPERLINK("http://pirotehnika-optom.ru/11-khlopushki-optom/6571-nabor-khlopushek-vesyolaya-tusovka-6571.html","Просмотр")</f>
        <v>0</v>
      </c>
    </row>
    <row r="221" spans="1:12" customHeight="1" ht="11.25">
      <c r="A221" s="43">
        <v>207</v>
      </c>
      <c r="B221" s="44" t="s">
        <v>37</v>
      </c>
      <c r="C221" s="45" t="s">
        <v>37</v>
      </c>
      <c r="D221" s="43" t="s">
        <v>470</v>
      </c>
      <c r="E221" s="45" t="s">
        <v>471</v>
      </c>
      <c r="F221" s="46" t="s">
        <v>67</v>
      </c>
      <c r="G221" s="46" t="s">
        <v>37</v>
      </c>
      <c r="H221" s="46">
        <v>308</v>
      </c>
      <c r="I221" s="47">
        <v>76.97</v>
      </c>
      <c r="J221" s="48">
        <v>76.97</v>
      </c>
      <c r="K221" s="54">
        <v>301</v>
      </c>
      <c r="L221" s="25" t="str">
        <f>HYPERLINK("http://pirotehnika-optom.ru/11-khlopushki-optom/1572-khlopushka-super-grand-s-serpantinom.html","Просмотр")</f>
        <v>0</v>
      </c>
    </row>
    <row r="222" spans="1:12" customHeight="1" ht="11.25">
      <c r="A222" s="43">
        <v>208</v>
      </c>
      <c r="B222" s="44" t="s">
        <v>37</v>
      </c>
      <c r="C222" s="45" t="s">
        <v>37</v>
      </c>
      <c r="D222" s="43" t="s">
        <v>472</v>
      </c>
      <c r="E222" s="45" t="s">
        <v>473</v>
      </c>
      <c r="F222" s="46" t="s">
        <v>67</v>
      </c>
      <c r="G222" s="46" t="s">
        <v>37</v>
      </c>
      <c r="H222" s="46">
        <v>120</v>
      </c>
      <c r="I222" s="47">
        <v>94.29000000000001</v>
      </c>
      <c r="J222" s="48">
        <v>94.29000000000001</v>
      </c>
      <c r="K222" s="54">
        <v>98</v>
      </c>
      <c r="L222" s="25" t="str">
        <f>HYPERLINK("http://pirotehnika-optom.ru/11-khlopushki-optom/1573-khlopushka-maksi-gigant-s-serpantinom.html","Просмотр")</f>
        <v>0</v>
      </c>
    </row>
    <row r="223" spans="1:12" customHeight="1" ht="11.25">
      <c r="A223" s="43">
        <v>209</v>
      </c>
      <c r="B223" s="44" t="s">
        <v>474</v>
      </c>
      <c r="C223" s="45" t="s">
        <v>64</v>
      </c>
      <c r="D223" s="43" t="s">
        <v>475</v>
      </c>
      <c r="E223" s="45" t="s">
        <v>476</v>
      </c>
      <c r="F223" s="46" t="s">
        <v>67</v>
      </c>
      <c r="G223" s="46" t="s">
        <v>37</v>
      </c>
      <c r="H223" s="46">
        <v>4</v>
      </c>
      <c r="I223" s="47">
        <v>2572.5</v>
      </c>
      <c r="J223" s="48">
        <v>2572.5</v>
      </c>
      <c r="K223" s="54">
        <v>25</v>
      </c>
      <c r="L223" s="25" t="str">
        <f>HYPERLINK("http://pirotehnika-optom.ru/12-pnevmokhlopushki-optom/4341-prosto-prazdnik.html","Просмотр")</f>
        <v>0</v>
      </c>
    </row>
    <row r="224" spans="1:12" customHeight="1" ht="11.25">
      <c r="A224" s="43">
        <v>210</v>
      </c>
      <c r="B224" s="44" t="s">
        <v>37</v>
      </c>
      <c r="C224" s="45" t="s">
        <v>84</v>
      </c>
      <c r="D224" s="43" t="s">
        <v>477</v>
      </c>
      <c r="E224" s="45" t="s">
        <v>478</v>
      </c>
      <c r="F224" s="46" t="s">
        <v>67</v>
      </c>
      <c r="G224" s="46" t="s">
        <v>37</v>
      </c>
      <c r="H224" s="46">
        <v>100</v>
      </c>
      <c r="I224" s="47">
        <v>249.9</v>
      </c>
      <c r="J224" s="48">
        <v>249.9</v>
      </c>
      <c r="K224" s="54">
        <v>243</v>
      </c>
      <c r="L224" s="25" t="str">
        <f>HYPERLINK("http://pirotehnika-optom.ru/12-pnevmokhlopushki-optom/5219-khlopushka-30-sm-1001.html","Просмотр")</f>
        <v>0</v>
      </c>
    </row>
    <row r="225" spans="1:12" customHeight="1" ht="11.25">
      <c r="A225" s="43">
        <v>211</v>
      </c>
      <c r="B225" s="44" t="s">
        <v>37</v>
      </c>
      <c r="C225" s="45" t="s">
        <v>37</v>
      </c>
      <c r="D225" s="43" t="s">
        <v>479</v>
      </c>
      <c r="E225" s="45" t="s">
        <v>480</v>
      </c>
      <c r="F225" s="46" t="s">
        <v>67</v>
      </c>
      <c r="G225" s="46" t="s">
        <v>37</v>
      </c>
      <c r="H225" s="46">
        <v>100</v>
      </c>
      <c r="I225" s="47">
        <v>249.9</v>
      </c>
      <c r="J225" s="48">
        <v>249.9</v>
      </c>
      <c r="K225" s="54">
        <v>396</v>
      </c>
      <c r="L225" s="25" t="str">
        <f>HYPERLINK("http://pirotehnika-optom.ru/12-pnevmokhlopushki-optom/5220-khlopushka-30-sm-1001.html","Просмотр")</f>
        <v>0</v>
      </c>
    </row>
    <row r="226" spans="1:12" customHeight="1" ht="11.25">
      <c r="A226" s="43">
        <v>212</v>
      </c>
      <c r="B226" s="44" t="s">
        <v>37</v>
      </c>
      <c r="C226" s="45" t="s">
        <v>37</v>
      </c>
      <c r="D226" s="43" t="s">
        <v>481</v>
      </c>
      <c r="E226" s="45" t="s">
        <v>482</v>
      </c>
      <c r="F226" s="46" t="s">
        <v>67</v>
      </c>
      <c r="G226" s="46" t="s">
        <v>37</v>
      </c>
      <c r="H226" s="46">
        <v>100</v>
      </c>
      <c r="I226" s="47">
        <v>249.9</v>
      </c>
      <c r="J226" s="48">
        <v>249.9</v>
      </c>
      <c r="K226" s="54">
        <v>311</v>
      </c>
      <c r="L226" s="25" t="str">
        <f>HYPERLINK("http://pirotehnika-optom.ru/12-pnevmokhlopushki-optom/5223-khlopushka-30-sm-1001.html","Просмотр")</f>
        <v>0</v>
      </c>
    </row>
    <row r="227" spans="1:12" customHeight="1" ht="11.25">
      <c r="A227" s="43">
        <v>213</v>
      </c>
      <c r="B227" s="44" t="s">
        <v>37</v>
      </c>
      <c r="C227" s="45" t="s">
        <v>37</v>
      </c>
      <c r="D227" s="43" t="s">
        <v>483</v>
      </c>
      <c r="E227" s="45" t="s">
        <v>484</v>
      </c>
      <c r="F227" s="46" t="s">
        <v>67</v>
      </c>
      <c r="G227" s="46" t="s">
        <v>37</v>
      </c>
      <c r="H227" s="46">
        <v>100</v>
      </c>
      <c r="I227" s="47">
        <v>249.9</v>
      </c>
      <c r="J227" s="48">
        <v>249.9</v>
      </c>
      <c r="K227" s="54">
        <v>522</v>
      </c>
      <c r="L227" s="25" t="str">
        <f>HYPERLINK("http://pirotehnika-optom.ru/12-pnevmokhlopushki-optom/5224-khlopushka-30-sm-1001.html","Просмотр")</f>
        <v>0</v>
      </c>
    </row>
    <row r="228" spans="1:12" customHeight="1" ht="11.25">
      <c r="A228" s="43">
        <v>214</v>
      </c>
      <c r="B228" s="44" t="s">
        <v>37</v>
      </c>
      <c r="C228" s="45" t="s">
        <v>37</v>
      </c>
      <c r="D228" s="43" t="s">
        <v>485</v>
      </c>
      <c r="E228" s="45" t="s">
        <v>484</v>
      </c>
      <c r="F228" s="46" t="s">
        <v>67</v>
      </c>
      <c r="G228" s="46" t="s">
        <v>37</v>
      </c>
      <c r="H228" s="46">
        <v>100</v>
      </c>
      <c r="I228" s="47">
        <v>249.9</v>
      </c>
      <c r="J228" s="48">
        <v>249.9</v>
      </c>
      <c r="K228" s="54">
        <v>626</v>
      </c>
      <c r="L228" s="25" t="str">
        <f>HYPERLINK("http://pirotehnika-optom.ru/12-pnevmokhlopushki-optom/5225-khlopushka-30-sm-1001.html","Просмотр")</f>
        <v>0</v>
      </c>
    </row>
    <row r="229" spans="1:12" customHeight="1" ht="11.25">
      <c r="A229" s="43">
        <v>215</v>
      </c>
      <c r="B229" s="44" t="s">
        <v>37</v>
      </c>
      <c r="C229" s="45" t="s">
        <v>37</v>
      </c>
      <c r="D229" s="43" t="s">
        <v>486</v>
      </c>
      <c r="E229" s="45" t="s">
        <v>487</v>
      </c>
      <c r="F229" s="46" t="s">
        <v>67</v>
      </c>
      <c r="G229" s="46" t="s">
        <v>37</v>
      </c>
      <c r="H229" s="46">
        <v>100</v>
      </c>
      <c r="I229" s="47">
        <v>249.9</v>
      </c>
      <c r="J229" s="48">
        <v>249.9</v>
      </c>
      <c r="K229" s="54">
        <v>378</v>
      </c>
      <c r="L229" s="25" t="str">
        <f>HYPERLINK("http://pirotehnika-optom.ru/12-pnevmokhlopushki-optom/5226-khlopushka-30-sm-1001.html","Просмотр")</f>
        <v>0</v>
      </c>
    </row>
    <row r="230" spans="1:12" customHeight="1" ht="11.25">
      <c r="A230" s="43">
        <v>216</v>
      </c>
      <c r="B230" s="44" t="s">
        <v>37</v>
      </c>
      <c r="C230" s="45" t="s">
        <v>37</v>
      </c>
      <c r="D230" s="43" t="s">
        <v>488</v>
      </c>
      <c r="E230" s="45" t="s">
        <v>484</v>
      </c>
      <c r="F230" s="46" t="s">
        <v>67</v>
      </c>
      <c r="G230" s="46" t="s">
        <v>37</v>
      </c>
      <c r="H230" s="46">
        <v>100</v>
      </c>
      <c r="I230" s="47">
        <v>276.15</v>
      </c>
      <c r="J230" s="48">
        <v>276.15</v>
      </c>
      <c r="K230" s="54">
        <v>622</v>
      </c>
      <c r="L230" s="25" t="str">
        <f>HYPERLINK("http://pirotehnika-optom.ru/12-pnevmokhlopushki-optom/5227-khlopushka-30-sm-1001.html","Просмотр")</f>
        <v>0</v>
      </c>
    </row>
    <row r="231" spans="1:12" customHeight="1" ht="11.25">
      <c r="A231" s="43">
        <v>217</v>
      </c>
      <c r="B231" s="44" t="s">
        <v>37</v>
      </c>
      <c r="C231" s="45" t="s">
        <v>37</v>
      </c>
      <c r="D231" s="43" t="s">
        <v>489</v>
      </c>
      <c r="E231" s="45" t="s">
        <v>490</v>
      </c>
      <c r="F231" s="46" t="s">
        <v>67</v>
      </c>
      <c r="G231" s="46" t="s">
        <v>37</v>
      </c>
      <c r="H231" s="46">
        <v>100</v>
      </c>
      <c r="I231" s="47">
        <v>249.9</v>
      </c>
      <c r="J231" s="48">
        <v>249.9</v>
      </c>
      <c r="K231" s="54">
        <v>111</v>
      </c>
      <c r="L231" s="25" t="str">
        <f>HYPERLINK("http://pirotehnika-optom.ru/12-pnevmokhlopushki-optom/5228-khlopushka-30-sm-1001.html","Просмотр")</f>
        <v>0</v>
      </c>
    </row>
    <row r="232" spans="1:12" customHeight="1" ht="11.25">
      <c r="A232" s="43">
        <v>218</v>
      </c>
      <c r="B232" s="44" t="s">
        <v>37</v>
      </c>
      <c r="C232" s="45" t="s">
        <v>37</v>
      </c>
      <c r="D232" s="43" t="s">
        <v>491</v>
      </c>
      <c r="E232" s="45" t="s">
        <v>492</v>
      </c>
      <c r="F232" s="46" t="s">
        <v>67</v>
      </c>
      <c r="G232" s="46" t="s">
        <v>37</v>
      </c>
      <c r="H232" s="46">
        <v>100</v>
      </c>
      <c r="I232" s="47">
        <v>249.9</v>
      </c>
      <c r="J232" s="48">
        <v>249.9</v>
      </c>
      <c r="K232" s="54">
        <v>274</v>
      </c>
      <c r="L232" s="25" t="str">
        <f>HYPERLINK("http://pirotehnika-optom.ru/12-pnevmokhlopushki-optom/5229-khlopushka-30-sm-1001.html","Просмотр")</f>
        <v>0</v>
      </c>
    </row>
    <row r="233" spans="1:12" customHeight="1" ht="11.25">
      <c r="A233" s="43">
        <v>219</v>
      </c>
      <c r="B233" s="44" t="s">
        <v>37</v>
      </c>
      <c r="C233" s="45" t="s">
        <v>37</v>
      </c>
      <c r="D233" s="43" t="s">
        <v>493</v>
      </c>
      <c r="E233" s="45" t="s">
        <v>494</v>
      </c>
      <c r="F233" s="46" t="s">
        <v>67</v>
      </c>
      <c r="G233" s="46" t="s">
        <v>37</v>
      </c>
      <c r="H233" s="46">
        <v>100</v>
      </c>
      <c r="I233" s="47">
        <v>233.1</v>
      </c>
      <c r="J233" s="48">
        <v>233.1</v>
      </c>
      <c r="K233" s="54">
        <v>283</v>
      </c>
      <c r="L233" s="25" t="str">
        <f>HYPERLINK("http://pirotehnika-optom.ru/12-pnevmokhlopushki-optom/5805-khlopushka-30-sm-1001.html","Просмотр")</f>
        <v>0</v>
      </c>
    </row>
    <row r="234" spans="1:12" customHeight="1" ht="11.25">
      <c r="A234" s="43">
        <v>220</v>
      </c>
      <c r="B234" s="44" t="s">
        <v>495</v>
      </c>
      <c r="C234" s="45" t="s">
        <v>64</v>
      </c>
      <c r="D234" s="43" t="s">
        <v>496</v>
      </c>
      <c r="E234" s="45" t="s">
        <v>497</v>
      </c>
      <c r="F234" s="46" t="s">
        <v>36</v>
      </c>
      <c r="G234" s="46">
        <v>5</v>
      </c>
      <c r="H234" s="46">
        <v>40</v>
      </c>
      <c r="I234" s="47">
        <v>1575</v>
      </c>
      <c r="J234" s="48">
        <v>315</v>
      </c>
      <c r="K234" s="54">
        <v>4</v>
      </c>
      <c r="L234" s="25" t="str">
        <f>HYPERLINK("http://pirotehnika-optom.ru/17-cvetnye-dymy-i-fakely-optom/5748-cvetnoj-dym-25kh127kh50-60-sek-5748.html","Просмотр")</f>
        <v>0</v>
      </c>
    </row>
    <row r="235" spans="1:12" customHeight="1" ht="11.25">
      <c r="A235" s="43">
        <v>221</v>
      </c>
      <c r="B235" s="44" t="s">
        <v>37</v>
      </c>
      <c r="C235" s="45" t="s">
        <v>37</v>
      </c>
      <c r="D235" s="43" t="s">
        <v>498</v>
      </c>
      <c r="E235" s="45" t="s">
        <v>499</v>
      </c>
      <c r="F235" s="46" t="s">
        <v>36</v>
      </c>
      <c r="G235" s="46">
        <v>5</v>
      </c>
      <c r="H235" s="46">
        <v>20</v>
      </c>
      <c r="I235" s="47">
        <v>3383.33</v>
      </c>
      <c r="J235" s="48">
        <v>676.67</v>
      </c>
      <c r="K235" s="54">
        <v>21</v>
      </c>
      <c r="L235" s="25" t="str">
        <f>HYPERLINK("http://pirotehnika-optom.ru/17-cvetnye-dymy-i-fakely-optom/5702-cvetnoj-dym-25kh127kh50-60-sek-5702.html","Просмотр")</f>
        <v>0</v>
      </c>
    </row>
    <row r="236" spans="1:12" customHeight="1" ht="11.25">
      <c r="A236" s="43">
        <v>222</v>
      </c>
      <c r="B236" s="44" t="s">
        <v>37</v>
      </c>
      <c r="C236" s="45" t="s">
        <v>37</v>
      </c>
      <c r="D236" s="43" t="s">
        <v>500</v>
      </c>
      <c r="E236" s="45" t="s">
        <v>501</v>
      </c>
      <c r="F236" s="46" t="s">
        <v>36</v>
      </c>
      <c r="G236" s="46">
        <v>5</v>
      </c>
      <c r="H236" s="46">
        <v>20</v>
      </c>
      <c r="I236" s="47">
        <v>3383.33</v>
      </c>
      <c r="J236" s="48">
        <v>676.67</v>
      </c>
      <c r="K236" s="54">
        <v>12</v>
      </c>
      <c r="L236" s="25" t="str">
        <f>HYPERLINK("http://pirotehnika-optom.ru/17-cvetnye-dymy-i-fakely-optom/5705-cvetnoj-dym-25kh127kh50-60-sek-5705.html","Просмотр")</f>
        <v>0</v>
      </c>
    </row>
    <row r="237" spans="1:12" customHeight="1" ht="11.25">
      <c r="A237" s="43">
        <v>223</v>
      </c>
      <c r="B237" s="44" t="s">
        <v>37</v>
      </c>
      <c r="C237" s="45" t="s">
        <v>37</v>
      </c>
      <c r="D237" s="43" t="s">
        <v>502</v>
      </c>
      <c r="E237" s="45" t="s">
        <v>501</v>
      </c>
      <c r="F237" s="46" t="s">
        <v>36</v>
      </c>
      <c r="G237" s="46">
        <v>5</v>
      </c>
      <c r="H237" s="46">
        <v>20</v>
      </c>
      <c r="I237" s="47">
        <v>3383.33</v>
      </c>
      <c r="J237" s="48">
        <v>676.67</v>
      </c>
      <c r="K237" s="54">
        <v>2</v>
      </c>
      <c r="L237" s="25" t="str">
        <f>HYPERLINK("http://pirotehnika-optom.ru/17-cvetnye-dymy-i-fakely-optom/6164-cvetnoj-dym-25kh127kh50-60-sek-6164.html","Просмотр")</f>
        <v>0</v>
      </c>
    </row>
    <row r="238" spans="1:12" customHeight="1" ht="11.25">
      <c r="A238" s="43">
        <v>224</v>
      </c>
      <c r="B238" s="44" t="s">
        <v>37</v>
      </c>
      <c r="C238" s="45" t="s">
        <v>37</v>
      </c>
      <c r="D238" s="43" t="s">
        <v>503</v>
      </c>
      <c r="E238" s="45" t="s">
        <v>504</v>
      </c>
      <c r="F238" s="46" t="s">
        <v>36</v>
      </c>
      <c r="G238" s="46">
        <v>5</v>
      </c>
      <c r="H238" s="46">
        <v>20</v>
      </c>
      <c r="I238" s="47">
        <v>3383.33</v>
      </c>
      <c r="J238" s="48">
        <v>676.67</v>
      </c>
      <c r="K238" s="54">
        <v>16</v>
      </c>
      <c r="L238" s="25" t="str">
        <f>HYPERLINK("http://pirotehnika-optom.ru/17-cvetnye-dymy-i-fakely-optom/5704-cvetnoj-dym-25kh127kh50-60-sek-5704.html","Просмотр")</f>
        <v>0</v>
      </c>
    </row>
    <row r="239" spans="1:12" customHeight="1" ht="11.25">
      <c r="A239" s="43">
        <v>225</v>
      </c>
      <c r="B239" s="44" t="s">
        <v>37</v>
      </c>
      <c r="C239" s="45" t="s">
        <v>37</v>
      </c>
      <c r="D239" s="43" t="s">
        <v>505</v>
      </c>
      <c r="E239" s="45" t="s">
        <v>506</v>
      </c>
      <c r="F239" s="46" t="s">
        <v>36</v>
      </c>
      <c r="G239" s="46">
        <v>5</v>
      </c>
      <c r="H239" s="46">
        <v>20</v>
      </c>
      <c r="I239" s="47">
        <v>3383.33</v>
      </c>
      <c r="J239" s="48">
        <v>676.67</v>
      </c>
      <c r="K239" s="54">
        <v>16</v>
      </c>
      <c r="L239" s="25" t="str">
        <f>HYPERLINK("http://pirotehnika-optom.ru/17-cvetnye-dymy-i-fakely-optom/5703-cvetnoj-dym-25kh127kh50-60-sek-5703.html","Просмотр")</f>
        <v>0</v>
      </c>
    </row>
    <row r="240" spans="1:12" customHeight="1" ht="11.25">
      <c r="A240" s="43">
        <v>226</v>
      </c>
      <c r="B240" s="44" t="s">
        <v>37</v>
      </c>
      <c r="C240" s="45" t="s">
        <v>37</v>
      </c>
      <c r="D240" s="43" t="s">
        <v>507</v>
      </c>
      <c r="E240" s="45" t="s">
        <v>508</v>
      </c>
      <c r="F240" s="46" t="s">
        <v>36</v>
      </c>
      <c r="G240" s="46">
        <v>5</v>
      </c>
      <c r="H240" s="46">
        <v>20</v>
      </c>
      <c r="I240" s="47">
        <v>3383.33</v>
      </c>
      <c r="J240" s="48">
        <v>676.67</v>
      </c>
      <c r="K240" s="54">
        <v>12</v>
      </c>
      <c r="L240" s="25" t="str">
        <f>HYPERLINK("http://pirotehnika-optom.ru/17-cvetnye-dymy-i-fakely-optom/5706-cvetnoj-dym-25kh127kh50-60-sek-5706.html","Просмотр")</f>
        <v>0</v>
      </c>
    </row>
    <row r="241" spans="1:12" customHeight="1" ht="11.25">
      <c r="A241" s="43">
        <v>227</v>
      </c>
      <c r="B241" s="44" t="s">
        <v>37</v>
      </c>
      <c r="C241" s="45" t="s">
        <v>37</v>
      </c>
      <c r="D241" s="43" t="s">
        <v>509</v>
      </c>
      <c r="E241" s="45" t="s">
        <v>508</v>
      </c>
      <c r="F241" s="46" t="s">
        <v>36</v>
      </c>
      <c r="G241" s="46">
        <v>5</v>
      </c>
      <c r="H241" s="46">
        <v>20</v>
      </c>
      <c r="I241" s="47">
        <v>3383.33</v>
      </c>
      <c r="J241" s="48">
        <v>676.67</v>
      </c>
      <c r="K241" s="54">
        <v>2</v>
      </c>
      <c r="L241" s="25" t="str">
        <f>HYPERLINK("http://pirotehnika-optom.ru/17-cvetnye-dymy-i-fakely-optom/6165-cvetnoj-dym-25kh127kh50-60-sek-6165.html","Просмотр")</f>
        <v>0</v>
      </c>
    </row>
    <row r="242" spans="1:12" customHeight="1" ht="11.25">
      <c r="A242" s="43">
        <v>228</v>
      </c>
      <c r="B242" s="44" t="s">
        <v>37</v>
      </c>
      <c r="C242" s="45" t="s">
        <v>37</v>
      </c>
      <c r="D242" s="43" t="s">
        <v>510</v>
      </c>
      <c r="E242" s="45" t="s">
        <v>511</v>
      </c>
      <c r="F242" s="46" t="s">
        <v>36</v>
      </c>
      <c r="G242" s="46">
        <v>5</v>
      </c>
      <c r="H242" s="46">
        <v>20</v>
      </c>
      <c r="I242" s="47">
        <v>3383.33</v>
      </c>
      <c r="J242" s="48">
        <v>676.67</v>
      </c>
      <c r="K242" s="54">
        <v>9</v>
      </c>
      <c r="L242" s="25" t="str">
        <f>HYPERLINK("http://pirotehnika-optom.ru/17-cvetnye-dymy-i-fakely-optom/5710-cvetnoj-dym-25kh127kh50-60-sek-5710.html","Просмотр")</f>
        <v>0</v>
      </c>
    </row>
    <row r="243" spans="1:12" customHeight="1" ht="11.25">
      <c r="A243" s="43">
        <v>229</v>
      </c>
      <c r="B243" s="44" t="s">
        <v>37</v>
      </c>
      <c r="C243" s="45" t="s">
        <v>37</v>
      </c>
      <c r="D243" s="43" t="s">
        <v>512</v>
      </c>
      <c r="E243" s="45" t="s">
        <v>513</v>
      </c>
      <c r="F243" s="46" t="s">
        <v>36</v>
      </c>
      <c r="G243" s="46">
        <v>5</v>
      </c>
      <c r="H243" s="46">
        <v>20</v>
      </c>
      <c r="I243" s="47">
        <v>3383.33</v>
      </c>
      <c r="J243" s="48">
        <v>676.67</v>
      </c>
      <c r="K243" s="54">
        <v>7</v>
      </c>
      <c r="L243" s="25" t="str">
        <f>HYPERLINK("http://pirotehnika-optom.ru/17-cvetnye-dymy-i-fakely-optom/5711-cvetnoj-dym-25kh127kh50-60-sek-5711.html","Просмотр")</f>
        <v>0</v>
      </c>
    </row>
    <row r="244" spans="1:12" customHeight="1" ht="11.25">
      <c r="A244" s="43">
        <v>230</v>
      </c>
      <c r="B244" s="44" t="s">
        <v>37</v>
      </c>
      <c r="C244" s="45" t="s">
        <v>37</v>
      </c>
      <c r="D244" s="43" t="s">
        <v>514</v>
      </c>
      <c r="E244" s="45" t="s">
        <v>513</v>
      </c>
      <c r="F244" s="46" t="s">
        <v>36</v>
      </c>
      <c r="G244" s="46">
        <v>5</v>
      </c>
      <c r="H244" s="46">
        <v>20</v>
      </c>
      <c r="I244" s="47">
        <v>3383.33</v>
      </c>
      <c r="J244" s="48">
        <v>676.67</v>
      </c>
      <c r="K244" s="54">
        <v>2</v>
      </c>
      <c r="L244" s="25" t="str">
        <f>HYPERLINK("http://pirotehnika-optom.ru/17-cvetnye-dymy-i-fakely-optom/6166-cvetnoj-dym-25kh127kh50-60-sek-6166.html","Просмотр")</f>
        <v>0</v>
      </c>
    </row>
    <row r="245" spans="1:12" customHeight="1" ht="11.25">
      <c r="A245" s="43">
        <v>231</v>
      </c>
      <c r="B245" s="44" t="s">
        <v>37</v>
      </c>
      <c r="C245" s="45" t="s">
        <v>37</v>
      </c>
      <c r="D245" s="43" t="s">
        <v>515</v>
      </c>
      <c r="E245" s="45" t="s">
        <v>516</v>
      </c>
      <c r="F245" s="46" t="s">
        <v>36</v>
      </c>
      <c r="G245" s="46">
        <v>5</v>
      </c>
      <c r="H245" s="46">
        <v>10</v>
      </c>
      <c r="I245" s="47">
        <v>4550</v>
      </c>
      <c r="J245" s="48">
        <v>910</v>
      </c>
      <c r="K245" s="54">
        <v>3</v>
      </c>
      <c r="L245" s="25" t="str">
        <f>HYPERLINK("http://pirotehnika-optom.ru/17-cvetnye-dymy-i-fakely-optom/5713-cvetnoj-dym-25kh127kh50-60-sek-5713.html","Просмотр")</f>
        <v>0</v>
      </c>
    </row>
    <row r="246" spans="1:12" customHeight="1" ht="11.25">
      <c r="A246" s="43">
        <v>232</v>
      </c>
      <c r="B246" s="44" t="s">
        <v>37</v>
      </c>
      <c r="C246" s="45" t="s">
        <v>37</v>
      </c>
      <c r="D246" s="43" t="s">
        <v>517</v>
      </c>
      <c r="E246" s="45" t="s">
        <v>518</v>
      </c>
      <c r="F246" s="46" t="s">
        <v>36</v>
      </c>
      <c r="G246" s="46">
        <v>5</v>
      </c>
      <c r="H246" s="46">
        <v>10</v>
      </c>
      <c r="I246" s="47">
        <v>4550</v>
      </c>
      <c r="J246" s="48">
        <v>910</v>
      </c>
      <c r="K246" s="54">
        <v>7</v>
      </c>
      <c r="L246" s="25" t="str">
        <f>HYPERLINK("http://pirotehnika-optom.ru/17-cvetnye-dymy-i-fakely-optom/5708-cvetnoj-dym-25kh127kh50-60-sek-5708.html","Просмотр")</f>
        <v>0</v>
      </c>
    </row>
    <row r="247" spans="1:12" customHeight="1" ht="11.25">
      <c r="A247" s="43">
        <v>233</v>
      </c>
      <c r="B247" s="44" t="s">
        <v>37</v>
      </c>
      <c r="C247" s="45" t="s">
        <v>37</v>
      </c>
      <c r="D247" s="43" t="s">
        <v>519</v>
      </c>
      <c r="E247" s="45" t="s">
        <v>520</v>
      </c>
      <c r="F247" s="46" t="s">
        <v>36</v>
      </c>
      <c r="G247" s="46">
        <v>5</v>
      </c>
      <c r="H247" s="46">
        <v>10</v>
      </c>
      <c r="I247" s="47">
        <v>4550</v>
      </c>
      <c r="J247" s="48">
        <v>910</v>
      </c>
      <c r="K247" s="54">
        <v>8</v>
      </c>
      <c r="L247" s="25" t="str">
        <f>HYPERLINK("http://pirotehnika-optom.ru/17-cvetnye-dymy-i-fakely-optom/5707-cvetnoj-dym-25kh127kh50-60-sek-5707.html","Просмотр")</f>
        <v>0</v>
      </c>
    </row>
    <row r="248" spans="1:12" customHeight="1" ht="11.25">
      <c r="A248" s="43">
        <v>234</v>
      </c>
      <c r="B248" s="44" t="s">
        <v>37</v>
      </c>
      <c r="C248" s="45" t="s">
        <v>37</v>
      </c>
      <c r="D248" s="43" t="s">
        <v>521</v>
      </c>
      <c r="E248" s="45" t="s">
        <v>522</v>
      </c>
      <c r="F248" s="46" t="s">
        <v>36</v>
      </c>
      <c r="G248" s="46">
        <v>5</v>
      </c>
      <c r="H248" s="46">
        <v>10</v>
      </c>
      <c r="I248" s="47">
        <v>4550</v>
      </c>
      <c r="J248" s="48">
        <v>910</v>
      </c>
      <c r="K248" s="54">
        <v>7</v>
      </c>
      <c r="L248" s="25" t="str">
        <f>HYPERLINK("http://pirotehnika-optom.ru/17-cvetnye-dymy-i-fakely-optom/5709-cvetnoj-dym-25kh127kh50-60-sek-5709.html","Просмотр")</f>
        <v>0</v>
      </c>
    </row>
    <row r="249" spans="1:12" customHeight="1" ht="11.25">
      <c r="A249" s="43">
        <v>235</v>
      </c>
      <c r="B249" s="44" t="s">
        <v>37</v>
      </c>
      <c r="C249" s="45" t="s">
        <v>37</v>
      </c>
      <c r="D249" s="43" t="s">
        <v>523</v>
      </c>
      <c r="E249" s="45" t="s">
        <v>524</v>
      </c>
      <c r="F249" s="46" t="s">
        <v>36</v>
      </c>
      <c r="G249" s="46">
        <v>5</v>
      </c>
      <c r="H249" s="46">
        <v>10</v>
      </c>
      <c r="I249" s="47">
        <v>4550</v>
      </c>
      <c r="J249" s="48">
        <v>910</v>
      </c>
      <c r="K249" s="54">
        <v>4</v>
      </c>
      <c r="L249" s="25" t="str">
        <f>HYPERLINK("http://pirotehnika-optom.ru/17-cvetnye-dymy-i-fakely-optom/5758-cvetnoj-dym-25kh127kh50-60-sek-5758.html","Просмотр")</f>
        <v>0</v>
      </c>
    </row>
    <row r="250" spans="1:12" customHeight="1" ht="11.25">
      <c r="A250" s="43">
        <v>236</v>
      </c>
      <c r="B250" s="44" t="s">
        <v>37</v>
      </c>
      <c r="C250" s="45" t="s">
        <v>37</v>
      </c>
      <c r="D250" s="43" t="s">
        <v>525</v>
      </c>
      <c r="E250" s="45" t="s">
        <v>526</v>
      </c>
      <c r="F250" s="46" t="s">
        <v>36</v>
      </c>
      <c r="G250" s="46">
        <v>5</v>
      </c>
      <c r="H250" s="46">
        <v>10</v>
      </c>
      <c r="I250" s="47">
        <v>4550</v>
      </c>
      <c r="J250" s="48">
        <v>910</v>
      </c>
      <c r="K250" s="54">
        <v>5</v>
      </c>
      <c r="L250" s="25" t="str">
        <f>HYPERLINK("http://pirotehnika-optom.ru/17-cvetnye-dymy-i-fakely-optom/5754-cvetnoj-dym-25kh127kh50-60-sek-5754.html","Просмотр")</f>
        <v>0</v>
      </c>
    </row>
    <row r="251" spans="1:12" customHeight="1" ht="11.25">
      <c r="A251" s="43">
        <v>237</v>
      </c>
      <c r="B251" s="44" t="s">
        <v>37</v>
      </c>
      <c r="C251" s="45" t="s">
        <v>37</v>
      </c>
      <c r="D251" s="43" t="s">
        <v>527</v>
      </c>
      <c r="E251" s="45" t="s">
        <v>528</v>
      </c>
      <c r="F251" s="46" t="s">
        <v>36</v>
      </c>
      <c r="G251" s="46">
        <v>5</v>
      </c>
      <c r="H251" s="46">
        <v>10</v>
      </c>
      <c r="I251" s="47">
        <v>4550</v>
      </c>
      <c r="J251" s="48">
        <v>910</v>
      </c>
      <c r="K251" s="54">
        <v>4</v>
      </c>
      <c r="L251" s="25" t="str">
        <f>HYPERLINK("http://pirotehnika-optom.ru/17-cvetnye-dymy-i-fakely-optom/5712-cvetnoj-dym-25kh127kh50-60-sek-5712.html","Просмотр")</f>
        <v>0</v>
      </c>
    </row>
    <row r="252" spans="1:12" customHeight="1" ht="11.25">
      <c r="A252" s="43">
        <v>238</v>
      </c>
      <c r="B252" s="44" t="s">
        <v>37</v>
      </c>
      <c r="C252" s="45" t="s">
        <v>37</v>
      </c>
      <c r="D252" s="43" t="s">
        <v>529</v>
      </c>
      <c r="E252" s="45" t="s">
        <v>530</v>
      </c>
      <c r="F252" s="46" t="s">
        <v>36</v>
      </c>
      <c r="G252" s="46">
        <v>5</v>
      </c>
      <c r="H252" s="46">
        <v>30</v>
      </c>
      <c r="I252" s="47">
        <v>2321.67</v>
      </c>
      <c r="J252" s="48">
        <v>464.33</v>
      </c>
      <c r="K252" s="54">
        <v>10</v>
      </c>
      <c r="L252" s="25" t="str">
        <f>HYPERLINK("http://pirotehnika-optom.ru/17-cvetnye-dymy-i-fakely-optom/5753-cvetnoj-dym-40-zheltyj-40-sek-5753.html","Просмотр")</f>
        <v>0</v>
      </c>
    </row>
    <row r="253" spans="1:12" customHeight="1" ht="11.25">
      <c r="A253" s="43">
        <v>239</v>
      </c>
      <c r="B253" s="44" t="s">
        <v>37</v>
      </c>
      <c r="C253" s="45" t="s">
        <v>37</v>
      </c>
      <c r="D253" s="43" t="s">
        <v>531</v>
      </c>
      <c r="E253" s="45" t="s">
        <v>532</v>
      </c>
      <c r="F253" s="46" t="s">
        <v>36</v>
      </c>
      <c r="G253" s="46">
        <v>5</v>
      </c>
      <c r="H253" s="46">
        <v>30</v>
      </c>
      <c r="I253" s="47">
        <v>2321.67</v>
      </c>
      <c r="J253" s="48">
        <v>464.33</v>
      </c>
      <c r="K253" s="54">
        <v>13</v>
      </c>
      <c r="L253" s="25" t="str">
        <f>HYPERLINK("http://pirotehnika-optom.ru/17-cvetnye-dymy-i-fakely-optom/5747-cvetnoj-dym-40-zelenyj-40-sek-5747.html","Просмотр")</f>
        <v>0</v>
      </c>
    </row>
    <row r="254" spans="1:12" customHeight="1" ht="11.25">
      <c r="A254" s="43">
        <v>240</v>
      </c>
      <c r="B254" s="44" t="s">
        <v>37</v>
      </c>
      <c r="C254" s="45" t="s">
        <v>37</v>
      </c>
      <c r="D254" s="43" t="s">
        <v>533</v>
      </c>
      <c r="E254" s="45" t="s">
        <v>534</v>
      </c>
      <c r="F254" s="46" t="s">
        <v>36</v>
      </c>
      <c r="G254" s="46">
        <v>5</v>
      </c>
      <c r="H254" s="46">
        <v>30</v>
      </c>
      <c r="I254" s="47">
        <v>2321.67</v>
      </c>
      <c r="J254" s="48">
        <v>464.33</v>
      </c>
      <c r="K254" s="54">
        <v>12</v>
      </c>
      <c r="L254" s="25" t="str">
        <f>HYPERLINK("http://pirotehnika-optom.ru/17-cvetnye-dymy-i-fakely-optom/5749-cvetnoj-dym-40-oranzhevyj-40-sek-5749.html","Просмотр")</f>
        <v>0</v>
      </c>
    </row>
    <row r="255" spans="1:12" customHeight="1" ht="11.25">
      <c r="A255" s="43">
        <v>241</v>
      </c>
      <c r="B255" s="44" t="s">
        <v>37</v>
      </c>
      <c r="C255" s="45" t="s">
        <v>37</v>
      </c>
      <c r="D255" s="43" t="s">
        <v>535</v>
      </c>
      <c r="E255" s="45" t="s">
        <v>536</v>
      </c>
      <c r="F255" s="46" t="s">
        <v>36</v>
      </c>
      <c r="G255" s="46">
        <v>5</v>
      </c>
      <c r="H255" s="46">
        <v>30</v>
      </c>
      <c r="I255" s="47">
        <v>2321.67</v>
      </c>
      <c r="J255" s="48">
        <v>464.33</v>
      </c>
      <c r="K255" s="54">
        <v>14</v>
      </c>
      <c r="L255" s="25" t="str">
        <f>HYPERLINK("http://pirotehnika-optom.ru/17-cvetnye-dymy-i-fakely-optom/5743-cvetnoj-dym-40-sinij-40-sek-5743.html","Просмотр")</f>
        <v>0</v>
      </c>
    </row>
    <row r="256" spans="1:12" customHeight="1" ht="11.25">
      <c r="A256" s="43">
        <v>242</v>
      </c>
      <c r="B256" s="44" t="s">
        <v>37</v>
      </c>
      <c r="C256" s="45" t="s">
        <v>37</v>
      </c>
      <c r="D256" s="43" t="s">
        <v>537</v>
      </c>
      <c r="E256" s="45" t="s">
        <v>538</v>
      </c>
      <c r="F256" s="46" t="s">
        <v>36</v>
      </c>
      <c r="G256" s="46">
        <v>5</v>
      </c>
      <c r="H256" s="46">
        <v>30</v>
      </c>
      <c r="I256" s="47">
        <v>2321.67</v>
      </c>
      <c r="J256" s="48">
        <v>464.33</v>
      </c>
      <c r="K256" s="54">
        <v>24</v>
      </c>
      <c r="L256" s="25" t="str">
        <f>HYPERLINK("http://pirotehnika-optom.ru/17-cvetnye-dymy-i-fakely-optom/6136-cvetnoj-dym-40-fioletovyj-40-sek-6136.html","Просмотр")</f>
        <v>0</v>
      </c>
    </row>
    <row r="257" spans="1:12" customHeight="1" ht="11.25">
      <c r="A257" s="43">
        <v>243</v>
      </c>
      <c r="B257" s="44" t="s">
        <v>37</v>
      </c>
      <c r="C257" s="45" t="s">
        <v>84</v>
      </c>
      <c r="D257" s="43" t="s">
        <v>539</v>
      </c>
      <c r="E257" s="45" t="s">
        <v>540</v>
      </c>
      <c r="F257" s="46" t="s">
        <v>67</v>
      </c>
      <c r="G257" s="46" t="s">
        <v>37</v>
      </c>
      <c r="H257" s="46">
        <v>100</v>
      </c>
      <c r="I257" s="47">
        <v>354.38</v>
      </c>
      <c r="J257" s="48">
        <v>354.38</v>
      </c>
      <c r="K257" s="54">
        <v>262</v>
      </c>
      <c r="L257" s="25" t="str">
        <f>HYPERLINK("http://pirotehnika-optom.ru/17-cvetnye-dymy-i-fakely-optom/4864-fontan-hf-01.html","Просмотр")</f>
        <v>0</v>
      </c>
    </row>
    <row r="258" spans="1:12" customHeight="1" ht="11.25">
      <c r="A258" s="43">
        <v>244</v>
      </c>
      <c r="B258" s="44" t="s">
        <v>37</v>
      </c>
      <c r="C258" s="45" t="s">
        <v>37</v>
      </c>
      <c r="D258" s="43" t="s">
        <v>541</v>
      </c>
      <c r="E258" s="45" t="s">
        <v>542</v>
      </c>
      <c r="F258" s="46" t="s">
        <v>36</v>
      </c>
      <c r="G258" s="46">
        <v>5</v>
      </c>
      <c r="H258" s="46">
        <v>30</v>
      </c>
      <c r="I258" s="47">
        <v>1485.75</v>
      </c>
      <c r="J258" s="48">
        <v>297.15</v>
      </c>
      <c r="K258" s="54">
        <v>90</v>
      </c>
      <c r="L258" s="25" t="str">
        <f>HYPERLINK("http://pirotehnika-optom.ru/17-cvetnye-dymy-i-fakely-optom/3241-dym-chyornyj-smoking-fountain-30-sek.html","Просмотр")</f>
        <v>0</v>
      </c>
    </row>
    <row r="259" spans="1:12" customHeight="1" ht="11.25">
      <c r="A259" s="43">
        <v>245</v>
      </c>
      <c r="B259" s="44" t="s">
        <v>37</v>
      </c>
      <c r="C259" s="45" t="s">
        <v>37</v>
      </c>
      <c r="D259" s="43" t="s">
        <v>543</v>
      </c>
      <c r="E259" s="45" t="s">
        <v>542</v>
      </c>
      <c r="F259" s="46" t="s">
        <v>36</v>
      </c>
      <c r="G259" s="46">
        <v>5</v>
      </c>
      <c r="H259" s="46">
        <v>30</v>
      </c>
      <c r="I259" s="47">
        <v>1485.75</v>
      </c>
      <c r="J259" s="48">
        <v>297.15</v>
      </c>
      <c r="K259" s="54">
        <v>58</v>
      </c>
      <c r="L259" s="25" t="str">
        <f>HYPERLINK("http://pirotehnika-optom.ru/17-cvetnye-dymy-i-fakely-optom/6309-dym-chyornyj-smoking-fountain-30-sek-6309.html","Просмотр")</f>
        <v>0</v>
      </c>
    </row>
    <row r="260" spans="1:12" customHeight="1" ht="11.25">
      <c r="A260" s="43">
        <v>246</v>
      </c>
      <c r="B260" s="44" t="s">
        <v>37</v>
      </c>
      <c r="C260" s="45" t="s">
        <v>37</v>
      </c>
      <c r="D260" s="43" t="s">
        <v>544</v>
      </c>
      <c r="E260" s="45" t="s">
        <v>545</v>
      </c>
      <c r="F260" s="46" t="s">
        <v>36</v>
      </c>
      <c r="G260" s="46">
        <v>5</v>
      </c>
      <c r="H260" s="46">
        <v>30</v>
      </c>
      <c r="I260" s="47">
        <v>1485.75</v>
      </c>
      <c r="J260" s="48">
        <v>297.15</v>
      </c>
      <c r="K260" s="54">
        <v>222</v>
      </c>
      <c r="L260" s="25" t="str">
        <f>HYPERLINK("http://pirotehnika-optom.ru/17-cvetnye-dymy-i-fakely-optom/6191-smoking-fountain-6191.html","Просмотр")</f>
        <v>0</v>
      </c>
    </row>
    <row r="261" spans="1:12" customHeight="1" ht="11.25">
      <c r="A261" s="43">
        <v>247</v>
      </c>
      <c r="B261" s="44" t="s">
        <v>37</v>
      </c>
      <c r="C261" s="45" t="s">
        <v>37</v>
      </c>
      <c r="D261" s="43" t="s">
        <v>546</v>
      </c>
      <c r="E261" s="45" t="s">
        <v>547</v>
      </c>
      <c r="F261" s="46" t="s">
        <v>36</v>
      </c>
      <c r="G261" s="46">
        <v>5</v>
      </c>
      <c r="H261" s="46">
        <v>30</v>
      </c>
      <c r="I261" s="47">
        <v>1338.75</v>
      </c>
      <c r="J261" s="48">
        <v>267.75</v>
      </c>
      <c r="K261" s="54">
        <v>68</v>
      </c>
      <c r="L261" s="25" t="str">
        <f>HYPERLINK("http://pirotehnika-optom.ru/17-cvetnye-dymy-i-fakely-optom/6190-dym-chyornyj-smoking-fountain-30-sek-6190.html","Просмотр")</f>
        <v>0</v>
      </c>
    </row>
    <row r="262" spans="1:12" customHeight="1" ht="11.25">
      <c r="A262" s="43">
        <v>248</v>
      </c>
      <c r="B262" s="44" t="s">
        <v>37</v>
      </c>
      <c r="C262" s="45" t="s">
        <v>37</v>
      </c>
      <c r="D262" s="43" t="s">
        <v>548</v>
      </c>
      <c r="E262" s="45" t="s">
        <v>549</v>
      </c>
      <c r="F262" s="46" t="s">
        <v>36</v>
      </c>
      <c r="G262" s="46">
        <v>5</v>
      </c>
      <c r="H262" s="46">
        <v>30</v>
      </c>
      <c r="I262" s="47">
        <v>1485.75</v>
      </c>
      <c r="J262" s="48">
        <v>297.15</v>
      </c>
      <c r="K262" s="54">
        <v>137</v>
      </c>
      <c r="L262" s="25" t="str">
        <f>HYPERLINK("http://pirotehnika-optom.ru/17-cvetnye-dymy-i-fakely-optom/6194-smoking-fountain-green-6194.html","Просмотр")</f>
        <v>0</v>
      </c>
    </row>
    <row r="263" spans="1:12" customHeight="1" ht="11.25">
      <c r="A263" s="43">
        <v>249</v>
      </c>
      <c r="B263" s="44" t="s">
        <v>37</v>
      </c>
      <c r="C263" s="45" t="s">
        <v>37</v>
      </c>
      <c r="D263" s="43" t="s">
        <v>550</v>
      </c>
      <c r="E263" s="45" t="s">
        <v>551</v>
      </c>
      <c r="F263" s="46" t="s">
        <v>36</v>
      </c>
      <c r="G263" s="46">
        <v>5</v>
      </c>
      <c r="H263" s="46">
        <v>30</v>
      </c>
      <c r="I263" s="47">
        <v>1485.75</v>
      </c>
      <c r="J263" s="48">
        <v>297.15</v>
      </c>
      <c r="K263" s="54">
        <v>133</v>
      </c>
      <c r="L263" s="25" t="str">
        <f>HYPERLINK("http://pirotehnika-optom.ru/17-cvetnye-dymy-i-fakely-optom/2334-dym-mix-5-cvetov-smoking-fountain-30-sek.html","Просмотр")</f>
        <v>0</v>
      </c>
    </row>
    <row r="264" spans="1:12" customHeight="1" ht="11.25">
      <c r="A264" s="43">
        <v>250</v>
      </c>
      <c r="B264" s="44" t="s">
        <v>37</v>
      </c>
      <c r="C264" s="45" t="s">
        <v>37</v>
      </c>
      <c r="D264" s="43" t="s">
        <v>552</v>
      </c>
      <c r="E264" s="45" t="s">
        <v>553</v>
      </c>
      <c r="F264" s="46" t="s">
        <v>36</v>
      </c>
      <c r="G264" s="46">
        <v>5</v>
      </c>
      <c r="H264" s="46">
        <v>30</v>
      </c>
      <c r="I264" s="47">
        <v>1485.75</v>
      </c>
      <c r="J264" s="48">
        <v>297.15</v>
      </c>
      <c r="K264" s="54">
        <v>169</v>
      </c>
      <c r="L264" s="25" t="str">
        <f>HYPERLINK("http://pirotehnika-optom.ru/17-cvetnye-dymy-i-fakely-optom/6305-smoking-fountain-6305.html","Просмотр")</f>
        <v>0</v>
      </c>
    </row>
    <row r="265" spans="1:12" customHeight="1" ht="11.25">
      <c r="A265" s="43">
        <v>251</v>
      </c>
      <c r="B265" s="44" t="s">
        <v>37</v>
      </c>
      <c r="C265" s="45" t="s">
        <v>37</v>
      </c>
      <c r="D265" s="43" t="s">
        <v>554</v>
      </c>
      <c r="E265" s="45" t="s">
        <v>555</v>
      </c>
      <c r="F265" s="46" t="s">
        <v>36</v>
      </c>
      <c r="G265" s="46">
        <v>5</v>
      </c>
      <c r="H265" s="46">
        <v>30</v>
      </c>
      <c r="I265" s="47">
        <v>1485.75</v>
      </c>
      <c r="J265" s="48">
        <v>297.15</v>
      </c>
      <c r="K265" s="54">
        <v>150</v>
      </c>
      <c r="L265" s="25" t="str">
        <f>HYPERLINK("http://pirotehnika-optom.ru/17-cvetnye-dymy-i-fakely-optom/6193-dym-fioletovyj-smoking-fountain-30-sek-6193.html","Просмотр")</f>
        <v>0</v>
      </c>
    </row>
    <row r="266" spans="1:12" customHeight="1" ht="11.25">
      <c r="A266" s="43">
        <v>252</v>
      </c>
      <c r="B266" s="44" t="s">
        <v>37</v>
      </c>
      <c r="C266" s="45" t="s">
        <v>37</v>
      </c>
      <c r="D266" s="43" t="s">
        <v>556</v>
      </c>
      <c r="E266" s="45" t="s">
        <v>557</v>
      </c>
      <c r="F266" s="46" t="s">
        <v>36</v>
      </c>
      <c r="G266" s="46">
        <v>5</v>
      </c>
      <c r="H266" s="46">
        <v>30</v>
      </c>
      <c r="I266" s="47">
        <v>1485.75</v>
      </c>
      <c r="J266" s="48">
        <v>297.15</v>
      </c>
      <c r="K266" s="54">
        <v>181</v>
      </c>
      <c r="L266" s="25" t="str">
        <f>HYPERLINK("http://pirotehnika-optom.ru/17-cvetnye-dymy-i-fakely-optom/6304-smoking-fountain-red-6304.html","Просмотр")</f>
        <v>0</v>
      </c>
    </row>
    <row r="267" spans="1:12" customHeight="1" ht="11.25">
      <c r="A267" s="43">
        <v>253</v>
      </c>
      <c r="B267" s="44" t="s">
        <v>37</v>
      </c>
      <c r="C267" s="45" t="s">
        <v>37</v>
      </c>
      <c r="D267" s="43" t="s">
        <v>558</v>
      </c>
      <c r="E267" s="45" t="s">
        <v>559</v>
      </c>
      <c r="F267" s="46" t="s">
        <v>36</v>
      </c>
      <c r="G267" s="46">
        <v>5</v>
      </c>
      <c r="H267" s="46">
        <v>30</v>
      </c>
      <c r="I267" s="47">
        <v>1485.75</v>
      </c>
      <c r="J267" s="48">
        <v>297.15</v>
      </c>
      <c r="K267" s="54">
        <v>62</v>
      </c>
      <c r="L267" s="25" t="str">
        <f>HYPERLINK("http://pirotehnika-optom.ru/17-cvetnye-dymy-i-fakely-optom/5723-dym-tiffani-smoking-fountain-30-sek-5723.html","Просмотр")</f>
        <v>0</v>
      </c>
    </row>
    <row r="268" spans="1:12" customHeight="1" ht="11.25">
      <c r="A268" s="43">
        <v>254</v>
      </c>
      <c r="B268" s="44" t="s">
        <v>37</v>
      </c>
      <c r="C268" s="45" t="s">
        <v>37</v>
      </c>
      <c r="D268" s="43" t="s">
        <v>560</v>
      </c>
      <c r="E268" s="45" t="s">
        <v>561</v>
      </c>
      <c r="F268" s="46" t="s">
        <v>36</v>
      </c>
      <c r="G268" s="46">
        <v>5</v>
      </c>
      <c r="H268" s="46">
        <v>30</v>
      </c>
      <c r="I268" s="47">
        <v>1485.75</v>
      </c>
      <c r="J268" s="48">
        <v>297.15</v>
      </c>
      <c r="K268" s="54">
        <v>79</v>
      </c>
      <c r="L268" s="25" t="str">
        <f>HYPERLINK("http://pirotehnika-optom.ru/17-cvetnye-dymy-i-fakely-optom/6307-dym-belyj-smoking-fountain-30-sek-6307.html","Просмотр")</f>
        <v>0</v>
      </c>
    </row>
    <row r="269" spans="1:12" customHeight="1" ht="11.25">
      <c r="A269" s="43">
        <v>255</v>
      </c>
      <c r="B269" s="44" t="s">
        <v>37</v>
      </c>
      <c r="C269" s="45" t="s">
        <v>37</v>
      </c>
      <c r="D269" s="43" t="s">
        <v>562</v>
      </c>
      <c r="E269" s="45" t="s">
        <v>563</v>
      </c>
      <c r="F269" s="46" t="s">
        <v>36</v>
      </c>
      <c r="G269" s="46">
        <v>5</v>
      </c>
      <c r="H269" s="46">
        <v>30</v>
      </c>
      <c r="I269" s="47">
        <v>1485.75</v>
      </c>
      <c r="J269" s="48">
        <v>297.15</v>
      </c>
      <c r="K269" s="54">
        <v>155</v>
      </c>
      <c r="L269" s="25" t="str">
        <f>HYPERLINK("http://pirotehnika-optom.ru/17-cvetnye-dymy-i-fakely-optom/6192-dym-zheltyj-smoking-fountain-30-sek-6192.html","Просмотр")</f>
        <v>0</v>
      </c>
    </row>
    <row r="270" spans="1:12" customHeight="1" ht="11.25">
      <c r="A270" s="43">
        <v>256</v>
      </c>
      <c r="B270" s="44" t="s">
        <v>37</v>
      </c>
      <c r="C270" s="45" t="s">
        <v>37</v>
      </c>
      <c r="D270" s="43" t="s">
        <v>564</v>
      </c>
      <c r="E270" s="45" t="s">
        <v>565</v>
      </c>
      <c r="F270" s="46" t="s">
        <v>67</v>
      </c>
      <c r="G270" s="46" t="s">
        <v>37</v>
      </c>
      <c r="H270" s="46">
        <v>36</v>
      </c>
      <c r="I270" s="47">
        <v>749.7</v>
      </c>
      <c r="J270" s="48">
        <v>749.7</v>
      </c>
      <c r="K270" s="54">
        <v>26</v>
      </c>
      <c r="L270" s="25" t="str">
        <f>HYPERLINK("http://pirotehnika-optom.ru/17-cvetnye-dymy-i-fakely-optom/6129-ma0510-black-6129.html","Просмотр")</f>
        <v>0</v>
      </c>
    </row>
    <row r="271" spans="1:12" customHeight="1" ht="11.25">
      <c r="A271" s="43">
        <v>257</v>
      </c>
      <c r="B271" s="44" t="s">
        <v>37</v>
      </c>
      <c r="C271" s="45" t="s">
        <v>37</v>
      </c>
      <c r="D271" s="43" t="s">
        <v>566</v>
      </c>
      <c r="E271" s="45" t="s">
        <v>567</v>
      </c>
      <c r="F271" s="46" t="s">
        <v>67</v>
      </c>
      <c r="G271" s="46" t="s">
        <v>37</v>
      </c>
      <c r="H271" s="46">
        <v>36</v>
      </c>
      <c r="I271" s="47">
        <v>597.45</v>
      </c>
      <c r="J271" s="48">
        <v>597.45</v>
      </c>
      <c r="K271" s="54">
        <v>102</v>
      </c>
      <c r="L271" s="25" t="str">
        <f>HYPERLINK("http://pirotehnika-optom.ru/17-cvetnye-dymy-i-fakely-optom/6288-smoking-pot-green-6288.html","Просмотр")</f>
        <v>0</v>
      </c>
    </row>
    <row r="272" spans="1:12" customHeight="1" ht="11.25">
      <c r="A272" s="43">
        <v>258</v>
      </c>
      <c r="B272" s="44" t="s">
        <v>37</v>
      </c>
      <c r="C272" s="45" t="s">
        <v>37</v>
      </c>
      <c r="D272" s="43" t="s">
        <v>568</v>
      </c>
      <c r="E272" s="45" t="s">
        <v>569</v>
      </c>
      <c r="F272" s="46" t="s">
        <v>67</v>
      </c>
      <c r="G272" s="46" t="s">
        <v>37</v>
      </c>
      <c r="H272" s="46">
        <v>36</v>
      </c>
      <c r="I272" s="47">
        <v>597.45</v>
      </c>
      <c r="J272" s="48">
        <v>597.45</v>
      </c>
      <c r="K272" s="54">
        <v>79</v>
      </c>
      <c r="L272" s="25" t="str">
        <f>HYPERLINK("http://pirotehnika-optom.ru/17-cvetnye-dymy-i-fakely-optom/6134-smoking-pot-orange-6134.html","Просмотр")</f>
        <v>0</v>
      </c>
    </row>
    <row r="273" spans="1:12" customHeight="1" ht="11.25">
      <c r="A273" s="43">
        <v>259</v>
      </c>
      <c r="B273" s="44" t="s">
        <v>37</v>
      </c>
      <c r="C273" s="45" t="s">
        <v>37</v>
      </c>
      <c r="D273" s="43" t="s">
        <v>570</v>
      </c>
      <c r="E273" s="45" t="s">
        <v>571</v>
      </c>
      <c r="F273" s="46" t="s">
        <v>67</v>
      </c>
      <c r="G273" s="46" t="s">
        <v>37</v>
      </c>
      <c r="H273" s="46">
        <v>36</v>
      </c>
      <c r="I273" s="47">
        <v>597.45</v>
      </c>
      <c r="J273" s="48">
        <v>597.45</v>
      </c>
      <c r="K273" s="54">
        <v>62</v>
      </c>
      <c r="L273" s="25" t="str">
        <f>HYPERLINK("http://pirotehnika-optom.ru/17-cvetnye-dymy-i-fakely-optom/6133-smoking-pot-yellow-6133.html","Просмотр")</f>
        <v>0</v>
      </c>
    </row>
    <row r="274" spans="1:12" customHeight="1" ht="11.25">
      <c r="A274" s="43">
        <v>260</v>
      </c>
      <c r="B274" s="44" t="s">
        <v>37</v>
      </c>
      <c r="C274" s="45" t="s">
        <v>37</v>
      </c>
      <c r="D274" s="43" t="s">
        <v>572</v>
      </c>
      <c r="E274" s="45" t="s">
        <v>573</v>
      </c>
      <c r="F274" s="46" t="s">
        <v>36</v>
      </c>
      <c r="G274" s="46">
        <v>5</v>
      </c>
      <c r="H274" s="46">
        <v>40</v>
      </c>
      <c r="I274" s="47">
        <v>1039.5</v>
      </c>
      <c r="J274" s="48">
        <v>207.9</v>
      </c>
      <c r="K274" s="54">
        <v>37</v>
      </c>
      <c r="L274" s="25" t="str">
        <f>HYPERLINK("http://pirotehnika-optom.ru/17-cvetnye-dymy-i-fakely-optom/4659-dym-oranzhevyj-smoking-fountain-60-sek.html","Просмотр")</f>
        <v>0</v>
      </c>
    </row>
    <row r="275" spans="1:12" customHeight="1" ht="11.25">
      <c r="A275" s="43">
        <v>261</v>
      </c>
      <c r="B275" s="44" t="s">
        <v>37</v>
      </c>
      <c r="C275" s="45" t="s">
        <v>37</v>
      </c>
      <c r="D275" s="43" t="s">
        <v>574</v>
      </c>
      <c r="E275" s="45" t="s">
        <v>575</v>
      </c>
      <c r="F275" s="46" t="s">
        <v>36</v>
      </c>
      <c r="G275" s="46">
        <v>5</v>
      </c>
      <c r="H275" s="46">
        <v>40</v>
      </c>
      <c r="I275" s="47">
        <v>1143.33</v>
      </c>
      <c r="J275" s="48">
        <v>228.67</v>
      </c>
      <c r="K275" s="54">
        <v>116</v>
      </c>
      <c r="L275" s="25" t="str">
        <f>HYPERLINK("http://pirotehnika-optom.ru/17-cvetnye-dymy-i-fakely-optom/4677-dym-nebesno-goluboj-smoking-fountain-60-sek.html","Просмотр")</f>
        <v>0</v>
      </c>
    </row>
    <row r="276" spans="1:12" customHeight="1" ht="11.25">
      <c r="A276" s="43">
        <v>262</v>
      </c>
      <c r="B276" s="44" t="s">
        <v>37</v>
      </c>
      <c r="C276" s="45" t="s">
        <v>37</v>
      </c>
      <c r="D276" s="43" t="s">
        <v>576</v>
      </c>
      <c r="E276" s="45" t="s">
        <v>577</v>
      </c>
      <c r="F276" s="46" t="s">
        <v>36</v>
      </c>
      <c r="G276" s="46">
        <v>5</v>
      </c>
      <c r="H276" s="46">
        <v>40</v>
      </c>
      <c r="I276" s="47">
        <v>1039.5</v>
      </c>
      <c r="J276" s="48">
        <v>207.9</v>
      </c>
      <c r="K276" s="54">
        <v>96</v>
      </c>
      <c r="L276" s="25" t="str">
        <f>HYPERLINK("http://pirotehnika-optom.ru/17-cvetnye-dymy-i-fakely-optom/4646-dym-zelyonyj-smoking-fountain-60-sek.html","Просмотр")</f>
        <v>0</v>
      </c>
    </row>
    <row r="277" spans="1:12" customHeight="1" ht="11.25">
      <c r="A277" s="43">
        <v>263</v>
      </c>
      <c r="B277" s="44" t="s">
        <v>37</v>
      </c>
      <c r="C277" s="45" t="s">
        <v>37</v>
      </c>
      <c r="D277" s="43" t="s">
        <v>578</v>
      </c>
      <c r="E277" s="45" t="s">
        <v>577</v>
      </c>
      <c r="F277" s="46" t="s">
        <v>36</v>
      </c>
      <c r="G277" s="46">
        <v>5</v>
      </c>
      <c r="H277" s="46">
        <v>40</v>
      </c>
      <c r="I277" s="47">
        <v>1039.5</v>
      </c>
      <c r="J277" s="48">
        <v>207.9</v>
      </c>
      <c r="K277" s="54">
        <v>30</v>
      </c>
      <c r="L277" s="25" t="str">
        <f>HYPERLINK("http://pirotehnika-optom.ru/17-cvetnye-dymy-i-fakely-optom/6329-dym-zelyonyj-smoking-fountain-60-sek-6329.html","Просмотр")</f>
        <v>0</v>
      </c>
    </row>
    <row r="278" spans="1:12" customHeight="1" ht="11.25">
      <c r="A278" s="43">
        <v>264</v>
      </c>
      <c r="B278" s="44" t="s">
        <v>37</v>
      </c>
      <c r="C278" s="45" t="s">
        <v>37</v>
      </c>
      <c r="D278" s="43" t="s">
        <v>579</v>
      </c>
      <c r="E278" s="45" t="s">
        <v>580</v>
      </c>
      <c r="F278" s="46" t="s">
        <v>36</v>
      </c>
      <c r="G278" s="46">
        <v>5</v>
      </c>
      <c r="H278" s="46">
        <v>40</v>
      </c>
      <c r="I278" s="47">
        <v>1039.5</v>
      </c>
      <c r="J278" s="48">
        <v>207.9</v>
      </c>
      <c r="K278" s="54">
        <v>138</v>
      </c>
      <c r="L278" s="25" t="str">
        <f>HYPERLINK("http://pirotehnika-optom.ru/17-cvetnye-dymy-i-fakely-optom/6188-dym-vinnyj-smoking-fountain-60-sek-6188.html","Просмотр")</f>
        <v>0</v>
      </c>
    </row>
    <row r="279" spans="1:12" customHeight="1" ht="11.25">
      <c r="A279" s="43">
        <v>265</v>
      </c>
      <c r="B279" s="44" t="s">
        <v>37</v>
      </c>
      <c r="C279" s="45" t="s">
        <v>37</v>
      </c>
      <c r="D279" s="43" t="s">
        <v>581</v>
      </c>
      <c r="E279" s="45" t="s">
        <v>582</v>
      </c>
      <c r="F279" s="46" t="s">
        <v>36</v>
      </c>
      <c r="G279" s="46">
        <v>5</v>
      </c>
      <c r="H279" s="46">
        <v>40</v>
      </c>
      <c r="I279" s="47">
        <v>1039.5</v>
      </c>
      <c r="J279" s="48">
        <v>207.9</v>
      </c>
      <c r="K279" s="54">
        <v>81</v>
      </c>
      <c r="L279" s="25" t="str">
        <f>HYPERLINK("http://pirotehnika-optom.ru/17-cvetnye-dymy-i-fakely-optom/4658-smoking-fountain.html","Просмотр")</f>
        <v>0</v>
      </c>
    </row>
    <row r="280" spans="1:12" customHeight="1" ht="11.25">
      <c r="A280" s="43">
        <v>266</v>
      </c>
      <c r="B280" s="44" t="s">
        <v>37</v>
      </c>
      <c r="C280" s="45" t="s">
        <v>37</v>
      </c>
      <c r="D280" s="43" t="s">
        <v>583</v>
      </c>
      <c r="E280" s="45" t="s">
        <v>584</v>
      </c>
      <c r="F280" s="46" t="s">
        <v>36</v>
      </c>
      <c r="G280" s="46">
        <v>5</v>
      </c>
      <c r="H280" s="46">
        <v>40</v>
      </c>
      <c r="I280" s="47">
        <v>1143.33</v>
      </c>
      <c r="J280" s="48">
        <v>228.67</v>
      </c>
      <c r="K280" s="54">
        <v>38</v>
      </c>
      <c r="L280" s="25" t="str">
        <f>HYPERLINK("http://pirotehnika-optom.ru/17-cvetnye-dymy-i-fakely-optom/5726-dym-oranzhevyj-smoking-fountain-60-sek-5726.html","Просмотр")</f>
        <v>0</v>
      </c>
    </row>
    <row r="281" spans="1:12" customHeight="1" ht="11.25">
      <c r="A281" s="43">
        <v>267</v>
      </c>
      <c r="B281" s="44" t="s">
        <v>37</v>
      </c>
      <c r="C281" s="45" t="s">
        <v>37</v>
      </c>
      <c r="D281" s="43" t="s">
        <v>585</v>
      </c>
      <c r="E281" s="45" t="s">
        <v>584</v>
      </c>
      <c r="F281" s="46" t="s">
        <v>36</v>
      </c>
      <c r="G281" s="46">
        <v>5</v>
      </c>
      <c r="H281" s="46">
        <v>40</v>
      </c>
      <c r="I281" s="47">
        <v>1039.5</v>
      </c>
      <c r="J281" s="48">
        <v>207.9</v>
      </c>
      <c r="K281" s="54">
        <v>48</v>
      </c>
      <c r="L281" s="25" t="str">
        <f>HYPERLINK("http://pirotehnika-optom.ru/17-cvetnye-dymy-i-fakely-optom/6189-dym-oranzhevyj-smoking-fountain-60-sek-6189.html","Просмотр")</f>
        <v>0</v>
      </c>
    </row>
    <row r="282" spans="1:12" customHeight="1" ht="11.25">
      <c r="A282" s="43">
        <v>268</v>
      </c>
      <c r="B282" s="44" t="s">
        <v>37</v>
      </c>
      <c r="C282" s="45" t="s">
        <v>37</v>
      </c>
      <c r="D282" s="43" t="s">
        <v>586</v>
      </c>
      <c r="E282" s="45" t="s">
        <v>587</v>
      </c>
      <c r="F282" s="46" t="s">
        <v>36</v>
      </c>
      <c r="G282" s="46">
        <v>5</v>
      </c>
      <c r="H282" s="46">
        <v>40</v>
      </c>
      <c r="I282" s="47">
        <v>1039.5</v>
      </c>
      <c r="J282" s="48">
        <v>207.9</v>
      </c>
      <c r="K282" s="54">
        <v>55</v>
      </c>
      <c r="L282" s="25" t="str">
        <f>HYPERLINK("http://pirotehnika-optom.ru/17-cvetnye-dymy-i-fakely-optom/4645-dym-fioletovyj-smoking-fountain-60-sek.html","Просмотр")</f>
        <v>0</v>
      </c>
    </row>
    <row r="283" spans="1:12" customHeight="1" ht="11.25">
      <c r="A283" s="43">
        <v>269</v>
      </c>
      <c r="B283" s="44" t="s">
        <v>37</v>
      </c>
      <c r="C283" s="45" t="s">
        <v>37</v>
      </c>
      <c r="D283" s="43" t="s">
        <v>588</v>
      </c>
      <c r="E283" s="45" t="s">
        <v>589</v>
      </c>
      <c r="F283" s="46" t="s">
        <v>36</v>
      </c>
      <c r="G283" s="46">
        <v>5</v>
      </c>
      <c r="H283" s="46">
        <v>40</v>
      </c>
      <c r="I283" s="47">
        <v>1039.5</v>
      </c>
      <c r="J283" s="48">
        <v>207.9</v>
      </c>
      <c r="K283" s="54">
        <v>31</v>
      </c>
      <c r="L283" s="25" t="str">
        <f>HYPERLINK("http://pirotehnika-optom.ru/17-cvetnye-dymy-i-fakely-optom/4643-dym-krasnyj-smoking-fountain-60-sek.html","Просмотр")</f>
        <v>0</v>
      </c>
    </row>
    <row r="284" spans="1:12" customHeight="1" ht="11.25">
      <c r="A284" s="43">
        <v>270</v>
      </c>
      <c r="B284" s="44" t="s">
        <v>37</v>
      </c>
      <c r="C284" s="45" t="s">
        <v>37</v>
      </c>
      <c r="D284" s="43" t="s">
        <v>590</v>
      </c>
      <c r="E284" s="45" t="s">
        <v>591</v>
      </c>
      <c r="F284" s="46" t="s">
        <v>36</v>
      </c>
      <c r="G284" s="46">
        <v>5</v>
      </c>
      <c r="H284" s="46">
        <v>40</v>
      </c>
      <c r="I284" s="47">
        <v>1039.5</v>
      </c>
      <c r="J284" s="48">
        <v>207.9</v>
      </c>
      <c r="K284" s="54">
        <v>72</v>
      </c>
      <c r="L284" s="25" t="str">
        <f>HYPERLINK("http://pirotehnika-optom.ru/17-cvetnye-dymy-i-fakely-optom/4674-dym-belyj-smoking-fountain-60-sek.html","Просмотр")</f>
        <v>0</v>
      </c>
    </row>
    <row r="285" spans="1:12" customHeight="1" ht="11.25">
      <c r="A285" s="43">
        <v>271</v>
      </c>
      <c r="B285" s="44" t="s">
        <v>37</v>
      </c>
      <c r="C285" s="45" t="s">
        <v>37</v>
      </c>
      <c r="D285" s="43" t="s">
        <v>592</v>
      </c>
      <c r="E285" s="45" t="s">
        <v>591</v>
      </c>
      <c r="F285" s="46" t="s">
        <v>36</v>
      </c>
      <c r="G285" s="46">
        <v>5</v>
      </c>
      <c r="H285" s="46">
        <v>40</v>
      </c>
      <c r="I285" s="47">
        <v>1039.5</v>
      </c>
      <c r="J285" s="48">
        <v>207.9</v>
      </c>
      <c r="K285" s="54">
        <v>4</v>
      </c>
      <c r="L285" s="25" t="str">
        <f>HYPERLINK("http://pirotehnika-optom.ru/17-cvetnye-dymy-i-fakely-optom/6150-dym-belyj-smoking-fountain-60-sek-6150.html","Просмотр")</f>
        <v>0</v>
      </c>
    </row>
    <row r="286" spans="1:12" customHeight="1" ht="11.25">
      <c r="A286" s="43">
        <v>272</v>
      </c>
      <c r="B286" s="44" t="s">
        <v>37</v>
      </c>
      <c r="C286" s="45" t="s">
        <v>37</v>
      </c>
      <c r="D286" s="43" t="s">
        <v>593</v>
      </c>
      <c r="E286" s="45" t="s">
        <v>594</v>
      </c>
      <c r="F286" s="46" t="s">
        <v>36</v>
      </c>
      <c r="G286" s="46">
        <v>5</v>
      </c>
      <c r="H286" s="46">
        <v>40</v>
      </c>
      <c r="I286" s="47">
        <v>1039.5</v>
      </c>
      <c r="J286" s="48">
        <v>207.9</v>
      </c>
      <c r="K286" s="54">
        <v>66</v>
      </c>
      <c r="L286" s="25" t="str">
        <f>HYPERLINK("http://pirotehnika-optom.ru/17-cvetnye-dymy-i-fakely-optom/4644-dym-zhyoltyj-smoking-fountain-60-sek.html","Просмотр")</f>
        <v>0</v>
      </c>
    </row>
    <row r="287" spans="1:12" customHeight="1" ht="11.25">
      <c r="A287" s="43">
        <v>273</v>
      </c>
      <c r="B287" s="44" t="s">
        <v>37</v>
      </c>
      <c r="C287" s="45" t="s">
        <v>37</v>
      </c>
      <c r="D287" s="43" t="s">
        <v>595</v>
      </c>
      <c r="E287" s="45" t="s">
        <v>596</v>
      </c>
      <c r="F287" s="46" t="s">
        <v>36</v>
      </c>
      <c r="G287" s="46">
        <v>5</v>
      </c>
      <c r="H287" s="46">
        <v>20</v>
      </c>
      <c r="I287" s="47">
        <v>1622.25</v>
      </c>
      <c r="J287" s="48">
        <v>324.45</v>
      </c>
      <c r="K287" s="54">
        <v>28</v>
      </c>
      <c r="L287" s="25" t="str">
        <f>HYPERLINK("http://pirotehnika-optom.ru/17-cvetnye-dymy-i-fakely-optom/6311-dym-chyornyj-smoking-fountain-60-sek-6311.html","Просмотр")</f>
        <v>0</v>
      </c>
    </row>
    <row r="288" spans="1:12" customHeight="1" ht="11.25">
      <c r="A288" s="43">
        <v>274</v>
      </c>
      <c r="B288" s="44" t="s">
        <v>37</v>
      </c>
      <c r="C288" s="45" t="s">
        <v>37</v>
      </c>
      <c r="D288" s="43" t="s">
        <v>597</v>
      </c>
      <c r="E288" s="45" t="s">
        <v>598</v>
      </c>
      <c r="F288" s="46" t="s">
        <v>36</v>
      </c>
      <c r="G288" s="46">
        <v>5</v>
      </c>
      <c r="H288" s="46">
        <v>20</v>
      </c>
      <c r="I288" s="47">
        <v>1622.25</v>
      </c>
      <c r="J288" s="48">
        <v>324.45</v>
      </c>
      <c r="K288" s="54">
        <v>31</v>
      </c>
      <c r="L288" s="25" t="str">
        <f>HYPERLINK("http://pirotehnika-optom.ru/17-cvetnye-dymy-i-fakely-optom/6317-dym-nebesno-goluboj-smoking-fountain-60-sek-6317.html","Просмотр")</f>
        <v>0</v>
      </c>
    </row>
    <row r="289" spans="1:12" customHeight="1" ht="11.25">
      <c r="A289" s="43">
        <v>275</v>
      </c>
      <c r="B289" s="44" t="s">
        <v>37</v>
      </c>
      <c r="C289" s="45" t="s">
        <v>37</v>
      </c>
      <c r="D289" s="43" t="s">
        <v>599</v>
      </c>
      <c r="E289" s="45" t="s">
        <v>600</v>
      </c>
      <c r="F289" s="46" t="s">
        <v>36</v>
      </c>
      <c r="G289" s="46">
        <v>5</v>
      </c>
      <c r="H289" s="46">
        <v>20</v>
      </c>
      <c r="I289" s="47">
        <v>1622.25</v>
      </c>
      <c r="J289" s="48">
        <v>324.45</v>
      </c>
      <c r="K289" s="54">
        <v>26</v>
      </c>
      <c r="L289" s="25" t="str">
        <f>HYPERLINK("http://pirotehnika-optom.ru/17-cvetnye-dymy-i-fakely-optom/5724-dym-bordovyj-smoking-fountain-60-sek-5724.html","Просмотр")</f>
        <v>0</v>
      </c>
    </row>
    <row r="290" spans="1:12" customHeight="1" ht="11.25">
      <c r="A290" s="43">
        <v>276</v>
      </c>
      <c r="B290" s="44" t="s">
        <v>37</v>
      </c>
      <c r="C290" s="45" t="s">
        <v>37</v>
      </c>
      <c r="D290" s="43" t="s">
        <v>601</v>
      </c>
      <c r="E290" s="45" t="s">
        <v>577</v>
      </c>
      <c r="F290" s="46" t="s">
        <v>36</v>
      </c>
      <c r="G290" s="46">
        <v>5</v>
      </c>
      <c r="H290" s="46">
        <v>20</v>
      </c>
      <c r="I290" s="47">
        <v>1622.25</v>
      </c>
      <c r="J290" s="48">
        <v>324.45</v>
      </c>
      <c r="K290" s="54">
        <v>36</v>
      </c>
      <c r="L290" s="25" t="str">
        <f>HYPERLINK("http://pirotehnika-optom.ru/17-cvetnye-dymy-i-fakely-optom/6314-dym-fioletovyj-smoking-fountain-60-sek-6314.html","Просмотр")</f>
        <v>0</v>
      </c>
    </row>
    <row r="291" spans="1:12" customHeight="1" ht="11.25">
      <c r="A291" s="43">
        <v>277</v>
      </c>
      <c r="B291" s="44" t="s">
        <v>37</v>
      </c>
      <c r="C291" s="45" t="s">
        <v>37</v>
      </c>
      <c r="D291" s="43" t="s">
        <v>602</v>
      </c>
      <c r="E291" s="45" t="s">
        <v>603</v>
      </c>
      <c r="F291" s="46" t="s">
        <v>36</v>
      </c>
      <c r="G291" s="46">
        <v>5</v>
      </c>
      <c r="H291" s="46">
        <v>20</v>
      </c>
      <c r="I291" s="47">
        <v>1622.25</v>
      </c>
      <c r="J291" s="48">
        <v>324.45</v>
      </c>
      <c r="K291" s="54">
        <v>62</v>
      </c>
      <c r="L291" s="25" t="str">
        <f>HYPERLINK("http://pirotehnika-optom.ru/17-cvetnye-dymy-i-fakely-optom/6308-smoking-fountain-mix-6308.html","Просмотр")</f>
        <v>0</v>
      </c>
    </row>
    <row r="292" spans="1:12" customHeight="1" ht="11.25">
      <c r="A292" s="43">
        <v>278</v>
      </c>
      <c r="B292" s="44" t="s">
        <v>37</v>
      </c>
      <c r="C292" s="45" t="s">
        <v>37</v>
      </c>
      <c r="D292" s="43" t="s">
        <v>604</v>
      </c>
      <c r="E292" s="45" t="s">
        <v>584</v>
      </c>
      <c r="F292" s="46" t="s">
        <v>36</v>
      </c>
      <c r="G292" s="46">
        <v>5</v>
      </c>
      <c r="H292" s="46">
        <v>20</v>
      </c>
      <c r="I292" s="47">
        <v>1622.25</v>
      </c>
      <c r="J292" s="48">
        <v>324.45</v>
      </c>
      <c r="K292" s="54">
        <v>39</v>
      </c>
      <c r="L292" s="25" t="str">
        <f>HYPERLINK("http://pirotehnika-optom.ru/17-cvetnye-dymy-i-fakely-optom/2699-dym-fioletovyj-smoking-fountain-60-sek.html","Просмотр")</f>
        <v>0</v>
      </c>
    </row>
    <row r="293" spans="1:12" customHeight="1" ht="11.25">
      <c r="A293" s="43">
        <v>279</v>
      </c>
      <c r="B293" s="44" t="s">
        <v>37</v>
      </c>
      <c r="C293" s="45" t="s">
        <v>37</v>
      </c>
      <c r="D293" s="43" t="s">
        <v>605</v>
      </c>
      <c r="E293" s="45" t="s">
        <v>584</v>
      </c>
      <c r="F293" s="46" t="s">
        <v>36</v>
      </c>
      <c r="G293" s="46">
        <v>5</v>
      </c>
      <c r="H293" s="46">
        <v>20</v>
      </c>
      <c r="I293" s="47">
        <v>1622.25</v>
      </c>
      <c r="J293" s="48">
        <v>324.45</v>
      </c>
      <c r="K293" s="54">
        <v>3</v>
      </c>
      <c r="L293" s="25" t="str">
        <f>HYPERLINK("http://pirotehnika-optom.ru/17-cvetnye-dymy-i-fakely-optom/6330-dym-fioletovyj-smoking-fountain-60-sek-6330.html","Просмотр")</f>
        <v>0</v>
      </c>
    </row>
    <row r="294" spans="1:12" customHeight="1" ht="11.25">
      <c r="A294" s="43">
        <v>280</v>
      </c>
      <c r="B294" s="44" t="s">
        <v>37</v>
      </c>
      <c r="C294" s="45" t="s">
        <v>37</v>
      </c>
      <c r="D294" s="43" t="s">
        <v>606</v>
      </c>
      <c r="E294" s="45" t="s">
        <v>587</v>
      </c>
      <c r="F294" s="46" t="s">
        <v>36</v>
      </c>
      <c r="G294" s="46">
        <v>5</v>
      </c>
      <c r="H294" s="46">
        <v>20</v>
      </c>
      <c r="I294" s="47">
        <v>1622.25</v>
      </c>
      <c r="J294" s="48">
        <v>324.45</v>
      </c>
      <c r="K294" s="54">
        <v>36</v>
      </c>
      <c r="L294" s="25" t="str">
        <f>HYPERLINK("http://pirotehnika-optom.ru/17-cvetnye-dymy-i-fakely-optom/6315-dym-fioletovyj-smoking-fountain-60-sek-6315.html","Просмотр")</f>
        <v>0</v>
      </c>
    </row>
    <row r="295" spans="1:12" customHeight="1" ht="11.25">
      <c r="A295" s="43">
        <v>281</v>
      </c>
      <c r="B295" s="44" t="s">
        <v>37</v>
      </c>
      <c r="C295" s="45" t="s">
        <v>37</v>
      </c>
      <c r="D295" s="43" t="s">
        <v>607</v>
      </c>
      <c r="E295" s="45" t="s">
        <v>589</v>
      </c>
      <c r="F295" s="46" t="s">
        <v>36</v>
      </c>
      <c r="G295" s="46">
        <v>5</v>
      </c>
      <c r="H295" s="46">
        <v>20</v>
      </c>
      <c r="I295" s="47">
        <v>1622.25</v>
      </c>
      <c r="J295" s="48">
        <v>324.45</v>
      </c>
      <c r="K295" s="54">
        <v>31</v>
      </c>
      <c r="L295" s="25" t="str">
        <f>HYPERLINK("http://pirotehnika-optom.ru/17-cvetnye-dymy-i-fakely-optom/6316-dym-fioletovyj-smoking-fountain-60-sek-6316.html","Просмотр")</f>
        <v>0</v>
      </c>
    </row>
    <row r="296" spans="1:12" customHeight="1" ht="11.25">
      <c r="A296" s="43">
        <v>282</v>
      </c>
      <c r="B296" s="44" t="s">
        <v>37</v>
      </c>
      <c r="C296" s="45" t="s">
        <v>37</v>
      </c>
      <c r="D296" s="43" t="s">
        <v>608</v>
      </c>
      <c r="E296" s="45" t="s">
        <v>609</v>
      </c>
      <c r="F296" s="46" t="s">
        <v>36</v>
      </c>
      <c r="G296" s="46">
        <v>5</v>
      </c>
      <c r="H296" s="46">
        <v>20</v>
      </c>
      <c r="I296" s="47">
        <v>1622.25</v>
      </c>
      <c r="J296" s="48">
        <v>324.45</v>
      </c>
      <c r="K296" s="54">
        <v>33</v>
      </c>
      <c r="L296" s="25" t="str">
        <f>HYPERLINK("http://pirotehnika-optom.ru/17-cvetnye-dymy-i-fakely-optom/6186-dym-tiffani-smoking-fountain-60-sek-6186.html","Просмотр")</f>
        <v>0</v>
      </c>
    </row>
    <row r="297" spans="1:12" customHeight="1" ht="11.25">
      <c r="A297" s="43">
        <v>283</v>
      </c>
      <c r="B297" s="44" t="s">
        <v>37</v>
      </c>
      <c r="C297" s="45" t="s">
        <v>37</v>
      </c>
      <c r="D297" s="43" t="s">
        <v>610</v>
      </c>
      <c r="E297" s="45" t="s">
        <v>611</v>
      </c>
      <c r="F297" s="46" t="s">
        <v>36</v>
      </c>
      <c r="G297" s="46">
        <v>5</v>
      </c>
      <c r="H297" s="46">
        <v>20</v>
      </c>
      <c r="I297" s="47">
        <v>1622.25</v>
      </c>
      <c r="J297" s="48">
        <v>324.45</v>
      </c>
      <c r="K297" s="54">
        <v>31</v>
      </c>
      <c r="L297" s="25" t="str">
        <f>HYPERLINK("http://pirotehnika-optom.ru/17-cvetnye-dymy-i-fakely-optom/6312-dym-fioletovyj-smoking-fountain-60-sek-6312.html","Просмотр")</f>
        <v>0</v>
      </c>
    </row>
    <row r="298" spans="1:12" customHeight="1" ht="11.25">
      <c r="A298" s="43">
        <v>284</v>
      </c>
      <c r="B298" s="44" t="s">
        <v>37</v>
      </c>
      <c r="C298" s="45" t="s">
        <v>37</v>
      </c>
      <c r="D298" s="43" t="s">
        <v>612</v>
      </c>
      <c r="E298" s="45" t="s">
        <v>594</v>
      </c>
      <c r="F298" s="46" t="s">
        <v>36</v>
      </c>
      <c r="G298" s="46">
        <v>5</v>
      </c>
      <c r="H298" s="46">
        <v>20</v>
      </c>
      <c r="I298" s="47">
        <v>1622.25</v>
      </c>
      <c r="J298" s="48">
        <v>324.45</v>
      </c>
      <c r="K298" s="54">
        <v>42</v>
      </c>
      <c r="L298" s="25" t="str">
        <f>HYPERLINK("http://pirotehnika-optom.ru/17-cvetnye-dymy-i-fakely-optom/6195-dym-fioletovyj-smoking-fountain-60-sek-6195.html","Просмотр")</f>
        <v>0</v>
      </c>
    </row>
    <row r="299" spans="1:12" customHeight="1" ht="11.25">
      <c r="A299" s="43">
        <v>285</v>
      </c>
      <c r="B299" s="44" t="s">
        <v>37</v>
      </c>
      <c r="C299" s="45" t="s">
        <v>37</v>
      </c>
      <c r="D299" s="43" t="s">
        <v>613</v>
      </c>
      <c r="E299" s="45" t="s">
        <v>614</v>
      </c>
      <c r="F299" s="46" t="s">
        <v>36</v>
      </c>
      <c r="G299" s="46">
        <v>5</v>
      </c>
      <c r="H299" s="46">
        <v>10</v>
      </c>
      <c r="I299" s="47">
        <v>1795.5</v>
      </c>
      <c r="J299" s="48">
        <v>359.1</v>
      </c>
      <c r="K299" s="54">
        <v>54</v>
      </c>
      <c r="L299" s="25" t="str">
        <f>HYPERLINK("http://pirotehnika-optom.ru/17-cvetnye-dymy-i-fakely-optom/5727-smoking-fountain-5727.html","Просмотр")</f>
        <v>0</v>
      </c>
    </row>
    <row r="300" spans="1:12" customHeight="1" ht="11.25">
      <c r="A300" s="43">
        <v>286</v>
      </c>
      <c r="B300" s="44" t="s">
        <v>37</v>
      </c>
      <c r="C300" s="45" t="s">
        <v>37</v>
      </c>
      <c r="D300" s="43" t="s">
        <v>615</v>
      </c>
      <c r="E300" s="45" t="s">
        <v>616</v>
      </c>
      <c r="F300" s="46" t="s">
        <v>36</v>
      </c>
      <c r="G300" s="46">
        <v>5</v>
      </c>
      <c r="H300" s="46">
        <v>10</v>
      </c>
      <c r="I300" s="47">
        <v>1795.5</v>
      </c>
      <c r="J300" s="48">
        <v>359.1</v>
      </c>
      <c r="K300" s="54">
        <v>32</v>
      </c>
      <c r="L300" s="25" t="str">
        <f>HYPERLINK("http://pirotehnika-optom.ru/17-cvetnye-dymy-i-fakely-optom/5737-dym-krasno-korichnevyj-smoking-fountain-60-sek-5737.html","Просмотр")</f>
        <v>0</v>
      </c>
    </row>
    <row r="301" spans="1:12" customHeight="1" ht="11.25">
      <c r="A301" s="43">
        <v>287</v>
      </c>
      <c r="B301" s="44" t="s">
        <v>37</v>
      </c>
      <c r="C301" s="45" t="s">
        <v>37</v>
      </c>
      <c r="D301" s="43" t="s">
        <v>617</v>
      </c>
      <c r="E301" s="45" t="s">
        <v>618</v>
      </c>
      <c r="F301" s="46" t="s">
        <v>36</v>
      </c>
      <c r="G301" s="46">
        <v>5</v>
      </c>
      <c r="H301" s="46">
        <v>10</v>
      </c>
      <c r="I301" s="47">
        <v>1795.5</v>
      </c>
      <c r="J301" s="48">
        <v>359.1</v>
      </c>
      <c r="K301" s="54">
        <v>18</v>
      </c>
      <c r="L301" s="25" t="str">
        <f>HYPERLINK("http://pirotehnika-optom.ru/17-cvetnye-dymy-i-fakely-optom/5896-smoking-fountain-orange-5896.html","Просмотр")</f>
        <v>0</v>
      </c>
    </row>
    <row r="302" spans="1:12" customHeight="1" ht="11.25">
      <c r="A302" s="43">
        <v>288</v>
      </c>
      <c r="B302" s="44" t="s">
        <v>37</v>
      </c>
      <c r="C302" s="45" t="s">
        <v>37</v>
      </c>
      <c r="D302" s="43" t="s">
        <v>619</v>
      </c>
      <c r="E302" s="45" t="s">
        <v>587</v>
      </c>
      <c r="F302" s="46" t="s">
        <v>36</v>
      </c>
      <c r="G302" s="46">
        <v>5</v>
      </c>
      <c r="H302" s="46">
        <v>10</v>
      </c>
      <c r="I302" s="47">
        <v>1795.5</v>
      </c>
      <c r="J302" s="48">
        <v>359.1</v>
      </c>
      <c r="K302" s="54">
        <v>10</v>
      </c>
      <c r="L302" s="25" t="str">
        <f>HYPERLINK("http://pirotehnika-optom.ru/17-cvetnye-dymy-i-fakely-optom/5903-smoking-fountain-5903.html","Просмотр")</f>
        <v>0</v>
      </c>
    </row>
    <row r="303" spans="1:12" customHeight="1" ht="11.25">
      <c r="A303" s="43">
        <v>289</v>
      </c>
      <c r="B303" s="44" t="s">
        <v>37</v>
      </c>
      <c r="C303" s="45" t="s">
        <v>37</v>
      </c>
      <c r="D303" s="43" t="s">
        <v>620</v>
      </c>
      <c r="E303" s="45" t="s">
        <v>621</v>
      </c>
      <c r="F303" s="46" t="s">
        <v>36</v>
      </c>
      <c r="G303" s="46">
        <v>5</v>
      </c>
      <c r="H303" s="46">
        <v>10</v>
      </c>
      <c r="I303" s="47">
        <v>2041.66</v>
      </c>
      <c r="J303" s="48">
        <v>408.33</v>
      </c>
      <c r="K303" s="54">
        <v>47</v>
      </c>
      <c r="L303" s="25" t="str">
        <f>HYPERLINK("http://pirotehnika-optom.ru/17-cvetnye-dymy-i-fakely-optom/5728-dym-tiffani-smoking-fountain-60-sek-5728.html","Просмотр")</f>
        <v>0</v>
      </c>
    </row>
    <row r="304" spans="1:12" customHeight="1" ht="11.25">
      <c r="A304" s="43">
        <v>290</v>
      </c>
      <c r="B304" s="44" t="s">
        <v>37</v>
      </c>
      <c r="C304" s="45" t="s">
        <v>37</v>
      </c>
      <c r="D304" s="43" t="s">
        <v>622</v>
      </c>
      <c r="E304" s="45" t="s">
        <v>623</v>
      </c>
      <c r="F304" s="46" t="s">
        <v>67</v>
      </c>
      <c r="G304" s="46" t="s">
        <v>37</v>
      </c>
      <c r="H304" s="46">
        <v>25</v>
      </c>
      <c r="I304" s="47">
        <v>888.3</v>
      </c>
      <c r="J304" s="48">
        <v>888.3</v>
      </c>
      <c r="K304" s="54">
        <v>55</v>
      </c>
      <c r="L304" s="25" t="str">
        <f>HYPERLINK("http://pirotehnika-optom.ru/17-cvetnye-dymy-i-fakely-optom/6130-mega-smoking-green-6130.html","Просмотр")</f>
        <v>0</v>
      </c>
    </row>
    <row r="305" spans="1:12" customHeight="1" ht="11.25">
      <c r="A305" s="43">
        <v>291</v>
      </c>
      <c r="B305" s="44" t="s">
        <v>37</v>
      </c>
      <c r="C305" s="45" t="s">
        <v>37</v>
      </c>
      <c r="D305" s="43" t="s">
        <v>624</v>
      </c>
      <c r="E305" s="45" t="s">
        <v>625</v>
      </c>
      <c r="F305" s="46" t="s">
        <v>67</v>
      </c>
      <c r="G305" s="46" t="s">
        <v>37</v>
      </c>
      <c r="H305" s="46">
        <v>25</v>
      </c>
      <c r="I305" s="47">
        <v>888.3</v>
      </c>
      <c r="J305" s="48">
        <v>888.3</v>
      </c>
      <c r="K305" s="54">
        <v>50</v>
      </c>
      <c r="L305" s="25" t="str">
        <f>HYPERLINK("http://pirotehnika-optom.ru/17-cvetnye-dymy-i-fakely-optom/6131-dym-oranzhevyj-dvukhstoronnij-mega-smoking-60-sek-6131.html","Просмотр")</f>
        <v>0</v>
      </c>
    </row>
    <row r="306" spans="1:12" customHeight="1" ht="11.25">
      <c r="A306" s="43">
        <v>292</v>
      </c>
      <c r="B306" s="44" t="s">
        <v>37</v>
      </c>
      <c r="C306" s="45" t="s">
        <v>37</v>
      </c>
      <c r="D306" s="43" t="s">
        <v>626</v>
      </c>
      <c r="E306" s="45" t="s">
        <v>627</v>
      </c>
      <c r="F306" s="46" t="s">
        <v>67</v>
      </c>
      <c r="G306" s="46" t="s">
        <v>37</v>
      </c>
      <c r="H306" s="46">
        <v>25</v>
      </c>
      <c r="I306" s="47">
        <v>888.3</v>
      </c>
      <c r="J306" s="48">
        <v>888.3</v>
      </c>
      <c r="K306" s="54">
        <v>56</v>
      </c>
      <c r="L306" s="25" t="str">
        <f>HYPERLINK("http://pirotehnika-optom.ru/17-cvetnye-dymy-i-fakely-optom/6132-mega-smoking-yellow-6132.html","Просмотр")</f>
        <v>0</v>
      </c>
    </row>
    <row r="307" spans="1:12" customHeight="1" ht="11.25">
      <c r="A307" s="43">
        <v>293</v>
      </c>
      <c r="B307" s="44" t="s">
        <v>37</v>
      </c>
      <c r="C307" s="45" t="s">
        <v>37</v>
      </c>
      <c r="D307" s="43" t="s">
        <v>628</v>
      </c>
      <c r="E307" s="45" t="s">
        <v>629</v>
      </c>
      <c r="F307" s="46" t="s">
        <v>36</v>
      </c>
      <c r="G307" s="46">
        <v>5</v>
      </c>
      <c r="H307" s="46">
        <v>10</v>
      </c>
      <c r="I307" s="47">
        <v>1640.63</v>
      </c>
      <c r="J307" s="48">
        <v>328.13</v>
      </c>
      <c r="K307" s="54">
        <v>6</v>
      </c>
      <c r="L307" s="25" t="str">
        <f>HYPERLINK("http://pirotehnika-optom.ru/17-cvetnye-dymy-i-fakely-optom/4366-futbolnyj-flaer-mf-0260-blue-1-sht.html","Просмотр")</f>
        <v>0</v>
      </c>
    </row>
    <row r="308" spans="1:12" customHeight="1" ht="11.25">
      <c r="A308" s="43">
        <v>294</v>
      </c>
      <c r="B308" s="44" t="s">
        <v>630</v>
      </c>
      <c r="C308" s="45" t="s">
        <v>64</v>
      </c>
      <c r="D308" s="43" t="s">
        <v>631</v>
      </c>
      <c r="E308" s="45" t="s">
        <v>632</v>
      </c>
      <c r="F308" s="46" t="s">
        <v>50</v>
      </c>
      <c r="G308" s="46" t="s">
        <v>633</v>
      </c>
      <c r="H308" s="46">
        <v>20</v>
      </c>
      <c r="I308" s="47">
        <v>425.25</v>
      </c>
      <c r="J308" s="48">
        <v>14.18</v>
      </c>
      <c r="K308" s="54">
        <v>36</v>
      </c>
      <c r="L308" s="25" t="str">
        <f>HYPERLINK("http://pirotehnika-optom.ru/20-tovary-dlya-prazdnika-optom/6392-nevesta-6392.html","Просмотр")</f>
        <v>0</v>
      </c>
    </row>
    <row r="309" spans="1:12" customHeight="1" ht="11.25">
      <c r="A309" s="43">
        <v>295</v>
      </c>
      <c r="B309" s="44" t="s">
        <v>37</v>
      </c>
      <c r="C309" s="45" t="s">
        <v>37</v>
      </c>
      <c r="D309" s="43" t="s">
        <v>634</v>
      </c>
      <c r="E309" s="45" t="s">
        <v>635</v>
      </c>
      <c r="F309" s="46" t="s">
        <v>67</v>
      </c>
      <c r="G309" s="46" t="s">
        <v>37</v>
      </c>
      <c r="H309" s="46">
        <v>100</v>
      </c>
      <c r="I309" s="47">
        <v>92.40000000000001</v>
      </c>
      <c r="J309" s="48">
        <v>92.40000000000001</v>
      </c>
      <c r="K309" s="54">
        <v>122</v>
      </c>
      <c r="L309" s="25" t="str">
        <f>HYPERLINK("http://pirotehnika-optom.ru/20-tovary-dlya-prazdnika-optom/6397-pobeda-6397.html","Просмотр")</f>
        <v>0</v>
      </c>
    </row>
    <row r="310" spans="1:12" customHeight="1" ht="11.25">
      <c r="A310" s="43">
        <v>296</v>
      </c>
      <c r="B310" s="44" t="s">
        <v>636</v>
      </c>
      <c r="C310" s="45" t="s">
        <v>84</v>
      </c>
      <c r="D310" s="43" t="s">
        <v>637</v>
      </c>
      <c r="E310" s="45" t="s">
        <v>637</v>
      </c>
      <c r="F310" s="46" t="s">
        <v>36</v>
      </c>
      <c r="G310" s="46">
        <v>5</v>
      </c>
      <c r="H310" s="46">
        <v>30</v>
      </c>
      <c r="I310" s="47">
        <v>1485.75</v>
      </c>
      <c r="J310" s="48">
        <v>297.15</v>
      </c>
      <c r="K310" s="54">
        <v>60</v>
      </c>
      <c r="L310" s="25" t="str">
        <f>HYPERLINK("http://pirotehnika-optom.ru/130-cvetnye-dymy-optom/5552-ma0509-aqua.html","Просмотр")</f>
        <v>0</v>
      </c>
    </row>
    <row r="311" spans="1:12" customHeight="1" ht="11.25">
      <c r="A311" s="43">
        <v>297</v>
      </c>
      <c r="B311" s="44" t="s">
        <v>37</v>
      </c>
      <c r="C311" s="45" t="s">
        <v>37</v>
      </c>
      <c r="D311" s="43" t="s">
        <v>638</v>
      </c>
      <c r="E311" s="45" t="s">
        <v>639</v>
      </c>
      <c r="F311" s="46" t="s">
        <v>36</v>
      </c>
      <c r="G311" s="46">
        <v>5</v>
      </c>
      <c r="H311" s="46">
        <v>30</v>
      </c>
      <c r="I311" s="47">
        <v>1485.75</v>
      </c>
      <c r="J311" s="48">
        <v>297.15</v>
      </c>
      <c r="K311" s="54">
        <v>60</v>
      </c>
      <c r="L311" s="25" t="str">
        <f>HYPERLINK("http://pirotehnika-optom.ru/130-cvetnye-dymy-optom/5553-ma0509-maroon.html","Просмотр")</f>
        <v>0</v>
      </c>
    </row>
    <row r="312" spans="1:12" customHeight="1" ht="11.25">
      <c r="A312" s="43">
        <v>298</v>
      </c>
      <c r="B312" s="44" t="s">
        <v>37</v>
      </c>
      <c r="C312" s="45" t="s">
        <v>37</v>
      </c>
      <c r="D312" s="43" t="s">
        <v>640</v>
      </c>
      <c r="E312" s="45" t="s">
        <v>640</v>
      </c>
      <c r="F312" s="46" t="s">
        <v>36</v>
      </c>
      <c r="G312" s="46">
        <v>5</v>
      </c>
      <c r="H312" s="46">
        <v>30</v>
      </c>
      <c r="I312" s="47">
        <v>1485.75</v>
      </c>
      <c r="J312" s="48">
        <v>297.15</v>
      </c>
      <c r="K312" s="54">
        <v>103</v>
      </c>
      <c r="L312" s="25" t="str">
        <f>HYPERLINK("http://pirotehnika-optom.ru/17-cvetnye-dymy-i-fakely-optom/5551-ma0509-mix2.html","Просмотр")</f>
        <v>0</v>
      </c>
    </row>
    <row r="313" spans="1:12" customHeight="1" ht="11.25">
      <c r="A313" s="43">
        <v>299</v>
      </c>
      <c r="B313" s="44" t="s">
        <v>37</v>
      </c>
      <c r="C313" s="45" t="s">
        <v>37</v>
      </c>
      <c r="D313" s="43" t="s">
        <v>641</v>
      </c>
      <c r="E313" s="45" t="s">
        <v>642</v>
      </c>
      <c r="F313" s="46" t="s">
        <v>36</v>
      </c>
      <c r="G313" s="46">
        <v>5</v>
      </c>
      <c r="H313" s="46">
        <v>40</v>
      </c>
      <c r="I313" s="47">
        <v>1039.5</v>
      </c>
      <c r="J313" s="48">
        <v>207.9</v>
      </c>
      <c r="K313" s="54">
        <v>116</v>
      </c>
      <c r="L313" s="25" t="str">
        <f>HYPERLINK("http://pirotehnika-optom.ru/130-cvetnye-dymy-optom/5554-dymcrimson-malinovyj-405.html","Просмотр")</f>
        <v>0</v>
      </c>
    </row>
    <row r="314" spans="1:12" customHeight="1" ht="11.25">
      <c r="A314" s="43">
        <v>300</v>
      </c>
      <c r="B314" s="44" t="s">
        <v>37</v>
      </c>
      <c r="C314" s="45" t="s">
        <v>37</v>
      </c>
      <c r="D314" s="43" t="s">
        <v>643</v>
      </c>
      <c r="E314" s="45" t="s">
        <v>644</v>
      </c>
      <c r="F314" s="46" t="s">
        <v>36</v>
      </c>
      <c r="G314" s="46">
        <v>5</v>
      </c>
      <c r="H314" s="46">
        <v>40</v>
      </c>
      <c r="I314" s="47">
        <v>1039.5</v>
      </c>
      <c r="J314" s="48">
        <v>207.9</v>
      </c>
      <c r="K314" s="54">
        <v>268</v>
      </c>
      <c r="L314" s="25" t="str">
        <f>HYPERLINK("http://pirotehnika-optom.ru/130-cvetnye-dymy-optom/5550-nabor-cvetnykh-dymov-pop-mix.html","Просмотр")</f>
        <v>0</v>
      </c>
    </row>
    <row r="315" spans="1:12" customHeight="1" ht="11.25">
      <c r="A315" s="43">
        <v>301</v>
      </c>
      <c r="B315" s="44" t="s">
        <v>37</v>
      </c>
      <c r="C315" s="45" t="s">
        <v>37</v>
      </c>
      <c r="D315" s="43" t="s">
        <v>645</v>
      </c>
      <c r="E315" s="45" t="s">
        <v>645</v>
      </c>
      <c r="F315" s="46" t="s">
        <v>36</v>
      </c>
      <c r="G315" s="46">
        <v>5</v>
      </c>
      <c r="H315" s="46">
        <v>20</v>
      </c>
      <c r="I315" s="47">
        <v>1622.25</v>
      </c>
      <c r="J315" s="48">
        <v>324.45</v>
      </c>
      <c r="K315" s="54">
        <v>34</v>
      </c>
      <c r="L315" s="25" t="str">
        <f>HYPERLINK("http://pirotehnika-optom.ru/130-cvetnye-dymy-optom/5555-ma0512-aqua.html","Просмотр")</f>
        <v>0</v>
      </c>
    </row>
    <row r="316" spans="1:12" customHeight="1" ht="11.25">
      <c r="A316" s="43">
        <v>302</v>
      </c>
      <c r="B316" s="44" t="s">
        <v>37</v>
      </c>
      <c r="C316" s="45" t="s">
        <v>37</v>
      </c>
      <c r="D316" s="43" t="s">
        <v>646</v>
      </c>
      <c r="E316" s="45" t="s">
        <v>647</v>
      </c>
      <c r="F316" s="46" t="s">
        <v>36</v>
      </c>
      <c r="G316" s="46">
        <v>5</v>
      </c>
      <c r="H316" s="46">
        <v>20</v>
      </c>
      <c r="I316" s="47">
        <v>1622.25</v>
      </c>
      <c r="J316" s="48">
        <v>324.45</v>
      </c>
      <c r="K316" s="54">
        <v>38</v>
      </c>
      <c r="L316" s="25" t="str">
        <f>HYPERLINK("http://pirotehnika-optom.ru/130-cvetnye-dymy-optom/5557-dymcrimson-malinovyj-205.html","Просмотр")</f>
        <v>0</v>
      </c>
    </row>
    <row r="317" spans="1:12" customHeight="1" ht="11.25">
      <c r="A317" s="43">
        <v>303</v>
      </c>
      <c r="B317" s="44" t="s">
        <v>37</v>
      </c>
      <c r="C317" s="45" t="s">
        <v>37</v>
      </c>
      <c r="D317" s="43" t="s">
        <v>648</v>
      </c>
      <c r="E317" s="45" t="s">
        <v>649</v>
      </c>
      <c r="F317" s="46" t="s">
        <v>36</v>
      </c>
      <c r="G317" s="46">
        <v>5</v>
      </c>
      <c r="H317" s="46">
        <v>20</v>
      </c>
      <c r="I317" s="47">
        <v>1622.25</v>
      </c>
      <c r="J317" s="48">
        <v>324.45</v>
      </c>
      <c r="K317" s="54">
        <v>39</v>
      </c>
      <c r="L317" s="25" t="str">
        <f>HYPERLINK("http://pirotehnika-optom.ru/130-cvetnye-dymy-optom/5556-ma0512-maroon.html","Просмотр")</f>
        <v>0</v>
      </c>
    </row>
    <row r="318" spans="1:12" customHeight="1" ht="11.25">
      <c r="A318" s="43">
        <v>304</v>
      </c>
      <c r="B318" s="44" t="s">
        <v>37</v>
      </c>
      <c r="C318" s="45" t="s">
        <v>37</v>
      </c>
      <c r="D318" s="43" t="s">
        <v>650</v>
      </c>
      <c r="E318" s="45" t="s">
        <v>651</v>
      </c>
      <c r="F318" s="46" t="s">
        <v>36</v>
      </c>
      <c r="G318" s="46">
        <v>5</v>
      </c>
      <c r="H318" s="46">
        <v>20</v>
      </c>
      <c r="I318" s="47">
        <v>1622.25</v>
      </c>
      <c r="J318" s="48">
        <v>324.45</v>
      </c>
      <c r="K318" s="54">
        <v>39</v>
      </c>
      <c r="L318" s="25" t="str">
        <f>HYPERLINK("http://pirotehnika-optom.ru/130-cvetnye-dymy-optom/6313-ma0512-marsala-6313.html","Просмотр")</f>
        <v>0</v>
      </c>
    </row>
    <row r="319" spans="1:12" customHeight="1" ht="11.25">
      <c r="A319" s="43">
        <v>305</v>
      </c>
      <c r="B319" s="44" t="s">
        <v>652</v>
      </c>
      <c r="C319" s="45" t="s">
        <v>79</v>
      </c>
      <c r="D319" s="43" t="s">
        <v>653</v>
      </c>
      <c r="E319" s="45" t="s">
        <v>654</v>
      </c>
      <c r="F319" s="46" t="s">
        <v>67</v>
      </c>
      <c r="G319" s="46" t="s">
        <v>37</v>
      </c>
      <c r="H319" s="46">
        <v>28</v>
      </c>
      <c r="I319" s="47">
        <v>426.56</v>
      </c>
      <c r="J319" s="48">
        <v>426.56</v>
      </c>
      <c r="K319" s="54">
        <v>26</v>
      </c>
      <c r="L319" s="25" t="str">
        <f>HYPERLINK("http://pirotehnika-optom.ru/230-imitacionnaya-pirotekhnika-optom/6120-shashka-dymovaya-raznocvetnaya-dshr-2-6120.html","Просмотр")</f>
        <v>0</v>
      </c>
    </row>
    <row r="320" spans="1:12" customHeight="1" ht="11.25">
      <c r="A320" s="43">
        <v>306</v>
      </c>
      <c r="B320" s="44" t="s">
        <v>655</v>
      </c>
      <c r="C320" s="45" t="s">
        <v>656</v>
      </c>
      <c r="D320" s="43" t="s">
        <v>657</v>
      </c>
      <c r="E320" s="45" t="s">
        <v>658</v>
      </c>
      <c r="F320" s="46" t="s">
        <v>67</v>
      </c>
      <c r="G320" s="46" t="s">
        <v>37</v>
      </c>
      <c r="H320" s="46">
        <v>1</v>
      </c>
      <c r="I320" s="47">
        <v>1470</v>
      </c>
      <c r="J320" s="48">
        <v>1470</v>
      </c>
      <c r="K320" s="54">
        <v>6</v>
      </c>
      <c r="L320" s="25" t="str">
        <f>HYPERLINK("http://pirotehnika-optom.ru/233-girlyandy-optom/6421-girlyanda-bakhroma-3-m-raznocvetnaya-6421.html","Просмотр")</f>
        <v>0</v>
      </c>
    </row>
    <row r="321" spans="1:12" customHeight="1" ht="11.25">
      <c r="A321" s="43">
        <v>307</v>
      </c>
      <c r="B321" s="44" t="s">
        <v>37</v>
      </c>
      <c r="C321" s="45" t="s">
        <v>37</v>
      </c>
      <c r="D321" s="43" t="s">
        <v>659</v>
      </c>
      <c r="E321" s="45" t="s">
        <v>660</v>
      </c>
      <c r="F321" s="46" t="s">
        <v>67</v>
      </c>
      <c r="G321" s="46" t="s">
        <v>37</v>
      </c>
      <c r="H321" s="46">
        <v>1</v>
      </c>
      <c r="I321" s="47">
        <v>1102.5</v>
      </c>
      <c r="J321" s="48">
        <v>1102.5</v>
      </c>
      <c r="K321" s="54">
        <v>1</v>
      </c>
      <c r="L321" s="25" t="str">
        <f>HYPERLINK("http://pirotehnika-optom.ru/233-girlyandy-optom/6452-girlyanda-vodopad-32-m-480-led-belaya-6452.html","Просмотр")</f>
        <v>0</v>
      </c>
    </row>
    <row r="322" spans="1:12" customHeight="1" ht="11.25">
      <c r="A322" s="43">
        <v>308</v>
      </c>
      <c r="B322" s="44" t="s">
        <v>37</v>
      </c>
      <c r="C322" s="45" t="s">
        <v>37</v>
      </c>
      <c r="D322" s="43" t="s">
        <v>661</v>
      </c>
      <c r="E322" s="45" t="s">
        <v>662</v>
      </c>
      <c r="F322" s="46" t="s">
        <v>67</v>
      </c>
      <c r="G322" s="46" t="s">
        <v>37</v>
      </c>
      <c r="H322" s="46">
        <v>1</v>
      </c>
      <c r="I322" s="47">
        <v>857.5</v>
      </c>
      <c r="J322" s="48">
        <v>857.5</v>
      </c>
      <c r="K322" s="54">
        <v>1</v>
      </c>
      <c r="L322" s="25" t="str">
        <f>HYPERLINK("http://pirotehnika-optom.ru/233-girlyandy-optom/6047-girlyanda-dekorativnaya-zelen-3-m-belaya-6047.html","Просмотр")</f>
        <v>0</v>
      </c>
    </row>
    <row r="323" spans="1:12" customHeight="1" ht="11.25">
      <c r="A323" s="43">
        <v>309</v>
      </c>
      <c r="B323" s="44" t="s">
        <v>37</v>
      </c>
      <c r="C323" s="45" t="s">
        <v>37</v>
      </c>
      <c r="D323" s="43" t="s">
        <v>663</v>
      </c>
      <c r="E323" s="45" t="s">
        <v>664</v>
      </c>
      <c r="F323" s="46" t="s">
        <v>67</v>
      </c>
      <c r="G323" s="46" t="s">
        <v>37</v>
      </c>
      <c r="H323" s="46">
        <v>1</v>
      </c>
      <c r="I323" s="47">
        <v>927.5</v>
      </c>
      <c r="J323" s="48">
        <v>927.5</v>
      </c>
      <c r="K323" s="54">
        <v>1</v>
      </c>
      <c r="L323" s="25" t="str">
        <f>HYPERLINK("http://pirotehnika-optom.ru/233-girlyandy-optom/5984-girlyanda-zvezdy-svetodiodnye-8-sht-teplyj-svet-5984.html","Просмотр")</f>
        <v>0</v>
      </c>
    </row>
    <row r="324" spans="1:12" customHeight="1" ht="11.25">
      <c r="A324" s="43">
        <v>310</v>
      </c>
      <c r="B324" s="44" t="s">
        <v>37</v>
      </c>
      <c r="C324" s="45" t="s">
        <v>37</v>
      </c>
      <c r="D324" s="43" t="s">
        <v>665</v>
      </c>
      <c r="E324" s="45" t="s">
        <v>666</v>
      </c>
      <c r="F324" s="46" t="s">
        <v>67</v>
      </c>
      <c r="G324" s="46" t="s">
        <v>37</v>
      </c>
      <c r="H324" s="46">
        <v>1</v>
      </c>
      <c r="I324" s="47">
        <v>1225</v>
      </c>
      <c r="J324" s="48">
        <v>1225</v>
      </c>
      <c r="K324" s="54">
        <v>2</v>
      </c>
      <c r="L324" s="25" t="str">
        <f>HYPERLINK("http://pirotehnika-optom.ru/233-girlyandy-optom/5999-girlyanda-lyustra-3-m-raznocvetnaya-5999.html","Просмотр")</f>
        <v>0</v>
      </c>
    </row>
    <row r="325" spans="1:12" customHeight="1" ht="11.25">
      <c r="A325" s="43">
        <v>311</v>
      </c>
      <c r="B325" s="44" t="s">
        <v>37</v>
      </c>
      <c r="C325" s="45" t="s">
        <v>37</v>
      </c>
      <c r="D325" s="43" t="s">
        <v>667</v>
      </c>
      <c r="E325" s="45" t="s">
        <v>668</v>
      </c>
      <c r="F325" s="46" t="s">
        <v>67</v>
      </c>
      <c r="G325" s="46" t="s">
        <v>37</v>
      </c>
      <c r="H325" s="46">
        <v>1</v>
      </c>
      <c r="I325" s="47">
        <v>927.5</v>
      </c>
      <c r="J325" s="48">
        <v>927.5</v>
      </c>
      <c r="K325" s="54">
        <v>2</v>
      </c>
      <c r="L325" s="25" t="str">
        <f>HYPERLINK("http://pirotehnika-optom.ru/233-girlyandy-optom/6461-girlyanda-meteoritnyj-dozhd-3-m-teplyj-svet-6461.html","Просмотр")</f>
        <v>0</v>
      </c>
    </row>
    <row r="326" spans="1:12" customHeight="1" ht="11.25">
      <c r="A326" s="43">
        <v>312</v>
      </c>
      <c r="B326" s="44" t="s">
        <v>37</v>
      </c>
      <c r="C326" s="45" t="s">
        <v>37</v>
      </c>
      <c r="D326" s="43" t="s">
        <v>669</v>
      </c>
      <c r="E326" s="45" t="s">
        <v>670</v>
      </c>
      <c r="F326" s="46" t="s">
        <v>67</v>
      </c>
      <c r="G326" s="46" t="s">
        <v>37</v>
      </c>
      <c r="H326" s="46">
        <v>1</v>
      </c>
      <c r="I326" s="47">
        <v>245</v>
      </c>
      <c r="J326" s="48">
        <v>245</v>
      </c>
      <c r="K326" s="54">
        <v>7</v>
      </c>
      <c r="L326" s="25" t="str">
        <f>HYPERLINK("http://pirotehnika-optom.ru/233-girlyandy-optom/6474-girlyanda-nit-11-m-chernyj-provod-kruglye-diody-art-h-200l-belaya-6474.html","Просмотр")</f>
        <v>0</v>
      </c>
    </row>
    <row r="327" spans="1:12" customHeight="1" ht="11.25">
      <c r="A327" s="43">
        <v>313</v>
      </c>
      <c r="B327" s="44" t="s">
        <v>37</v>
      </c>
      <c r="C327" s="45" t="s">
        <v>37</v>
      </c>
      <c r="D327" s="43" t="s">
        <v>671</v>
      </c>
      <c r="E327" s="45" t="s">
        <v>672</v>
      </c>
      <c r="F327" s="46" t="s">
        <v>67</v>
      </c>
      <c r="G327" s="46" t="s">
        <v>37</v>
      </c>
      <c r="H327" s="46">
        <v>1</v>
      </c>
      <c r="I327" s="47">
        <v>490</v>
      </c>
      <c r="J327" s="48">
        <v>490</v>
      </c>
      <c r="K327" s="54">
        <v>2</v>
      </c>
      <c r="L327" s="25" t="str">
        <f>HYPERLINK("http://pirotehnika-optom.ru/233-girlyandy-optom/6049-girlyanda-nit-15-m-chernyj-provod-belaya-6049.html","Просмотр")</f>
        <v>0</v>
      </c>
    </row>
    <row r="328" spans="1:12" customHeight="1" ht="11.25">
      <c r="A328" s="43">
        <v>314</v>
      </c>
      <c r="B328" s="44" t="s">
        <v>37</v>
      </c>
      <c r="C328" s="45" t="s">
        <v>37</v>
      </c>
      <c r="D328" s="43" t="s">
        <v>673</v>
      </c>
      <c r="E328" s="45" t="s">
        <v>674</v>
      </c>
      <c r="F328" s="46" t="s">
        <v>67</v>
      </c>
      <c r="G328" s="46" t="s">
        <v>37</v>
      </c>
      <c r="H328" s="46">
        <v>1</v>
      </c>
      <c r="I328" s="47">
        <v>367.5</v>
      </c>
      <c r="J328" s="48">
        <v>367.5</v>
      </c>
      <c r="K328" s="54">
        <v>2</v>
      </c>
      <c r="L328" s="25" t="str">
        <f>HYPERLINK("http://pirotehnika-optom.ru/233-girlyandy-optom/6072-girlyanda-nit-17-m-chernyj-provod-kruglye-diody-art-h-300l-raznocvetnaya-5387-6072.html","Просмотр")</f>
        <v>0</v>
      </c>
    </row>
    <row r="329" spans="1:12" customHeight="1" ht="11.25">
      <c r="A329" s="43">
        <v>315</v>
      </c>
      <c r="B329" s="44" t="s">
        <v>37</v>
      </c>
      <c r="C329" s="45" t="s">
        <v>37</v>
      </c>
      <c r="D329" s="43" t="s">
        <v>675</v>
      </c>
      <c r="E329" s="45" t="s">
        <v>676</v>
      </c>
      <c r="F329" s="46" t="s">
        <v>67</v>
      </c>
      <c r="G329" s="46" t="s">
        <v>37</v>
      </c>
      <c r="H329" s="46">
        <v>1</v>
      </c>
      <c r="I329" s="47">
        <v>612.5</v>
      </c>
      <c r="J329" s="48">
        <v>612.5</v>
      </c>
      <c r="K329" s="54">
        <v>3</v>
      </c>
      <c r="L329" s="25" t="str">
        <f>HYPERLINK("http://pirotehnika-optom.ru/233-girlyandy-optom/6050-girlyanda-nit-15-m-chernyj-provod-belaya-6050.html","Просмотр")</f>
        <v>0</v>
      </c>
    </row>
    <row r="330" spans="1:12" customHeight="1" ht="11.25">
      <c r="A330" s="43">
        <v>316</v>
      </c>
      <c r="B330" s="44" t="s">
        <v>37</v>
      </c>
      <c r="C330" s="45" t="s">
        <v>37</v>
      </c>
      <c r="D330" s="43" t="s">
        <v>677</v>
      </c>
      <c r="E330" s="45" t="s">
        <v>678</v>
      </c>
      <c r="F330" s="46" t="s">
        <v>67</v>
      </c>
      <c r="G330" s="46" t="s">
        <v>37</v>
      </c>
      <c r="H330" s="46">
        <v>1</v>
      </c>
      <c r="I330" s="47">
        <v>612.5</v>
      </c>
      <c r="J330" s="48">
        <v>612.5</v>
      </c>
      <c r="K330" s="54">
        <v>3</v>
      </c>
      <c r="L330" s="25" t="str">
        <f>HYPERLINK("http://pirotehnika-optom.ru/233-girlyandy-optom/6498-girlyanda-nit-15-m-chernyj-provod-belaya-6498.html","Просмотр")</f>
        <v>0</v>
      </c>
    </row>
    <row r="331" spans="1:12" customHeight="1" ht="11.25">
      <c r="A331" s="43">
        <v>317</v>
      </c>
      <c r="B331" s="44" t="s">
        <v>37</v>
      </c>
      <c r="C331" s="45" t="s">
        <v>37</v>
      </c>
      <c r="D331" s="43" t="s">
        <v>679</v>
      </c>
      <c r="E331" s="45" t="s">
        <v>680</v>
      </c>
      <c r="F331" s="46" t="s">
        <v>67</v>
      </c>
      <c r="G331" s="46" t="s">
        <v>37</v>
      </c>
      <c r="H331" s="46">
        <v>1</v>
      </c>
      <c r="I331" s="47">
        <v>735</v>
      </c>
      <c r="J331" s="48">
        <v>735</v>
      </c>
      <c r="K331" s="54">
        <v>2</v>
      </c>
      <c r="L331" s="25" t="str">
        <f>HYPERLINK("http://pirotehnika-optom.ru/233-girlyandy-optom/6052-girlyanda-nit-15-m-chernyj-provod-belaya-6052.html","Просмотр")</f>
        <v>0</v>
      </c>
    </row>
    <row r="332" spans="1:12" customHeight="1" ht="11.25">
      <c r="A332" s="43">
        <v>318</v>
      </c>
      <c r="B332" s="44" t="s">
        <v>37</v>
      </c>
      <c r="C332" s="45" t="s">
        <v>37</v>
      </c>
      <c r="D332" s="43" t="s">
        <v>681</v>
      </c>
      <c r="E332" s="45" t="s">
        <v>682</v>
      </c>
      <c r="F332" s="46" t="s">
        <v>67</v>
      </c>
      <c r="G332" s="46" t="s">
        <v>37</v>
      </c>
      <c r="H332" s="46">
        <v>1</v>
      </c>
      <c r="I332" s="47">
        <v>472.5</v>
      </c>
      <c r="J332" s="48">
        <v>472.5</v>
      </c>
      <c r="K332" s="54">
        <v>3</v>
      </c>
      <c r="L332" s="25" t="str">
        <f>HYPERLINK("http://pirotehnika-optom.ru/233-girlyandy-optom/6503-girlyanda-nit-azhurnye-elochki-2-m-teplyj-svet-6503.html","Просмотр")</f>
        <v>0</v>
      </c>
    </row>
    <row r="333" spans="1:12" customHeight="1" ht="11.25">
      <c r="A333" s="43">
        <v>319</v>
      </c>
      <c r="B333" s="44" t="s">
        <v>37</v>
      </c>
      <c r="C333" s="45" t="s">
        <v>37</v>
      </c>
      <c r="D333" s="43" t="s">
        <v>683</v>
      </c>
      <c r="E333" s="45" t="s">
        <v>684</v>
      </c>
      <c r="F333" s="46" t="s">
        <v>67</v>
      </c>
      <c r="G333" s="46" t="s">
        <v>37</v>
      </c>
      <c r="H333" s="46">
        <v>1</v>
      </c>
      <c r="I333" s="47">
        <v>385</v>
      </c>
      <c r="J333" s="48">
        <v>385</v>
      </c>
      <c r="K333" s="54">
        <v>3</v>
      </c>
      <c r="L333" s="25" t="str">
        <f>HYPERLINK("http://pirotehnika-optom.ru/233-girlyandy-optom/6465-girlyanda-nit-so-vstroennymi-smd-diodami-10-m-belaya-6465.html","Просмотр")</f>
        <v>0</v>
      </c>
    </row>
    <row r="334" spans="1:12" customHeight="1" ht="11.25">
      <c r="A334" s="43">
        <v>320</v>
      </c>
      <c r="B334" s="44" t="s">
        <v>37</v>
      </c>
      <c r="C334" s="45" t="s">
        <v>37</v>
      </c>
      <c r="D334" s="43" t="s">
        <v>685</v>
      </c>
      <c r="E334" s="45" t="s">
        <v>686</v>
      </c>
      <c r="F334" s="46" t="s">
        <v>67</v>
      </c>
      <c r="G334" s="46" t="s">
        <v>37</v>
      </c>
      <c r="H334" s="46">
        <v>1</v>
      </c>
      <c r="I334" s="47">
        <v>385</v>
      </c>
      <c r="J334" s="48">
        <v>385</v>
      </c>
      <c r="K334" s="54">
        <v>4</v>
      </c>
      <c r="L334" s="25" t="str">
        <f>HYPERLINK("http://pirotehnika-optom.ru/233-girlyandy-optom/6466-girlyanda-nit-so-vstroennymi-smd-diodami-10-m-raznocvetnaya-6466.html","Просмотр")</f>
        <v>0</v>
      </c>
    </row>
    <row r="335" spans="1:12" customHeight="1" ht="11.25">
      <c r="A335" s="43">
        <v>321</v>
      </c>
      <c r="B335" s="44" t="s">
        <v>37</v>
      </c>
      <c r="C335" s="45" t="s">
        <v>37</v>
      </c>
      <c r="D335" s="43" t="s">
        <v>687</v>
      </c>
      <c r="E335" s="45" t="s">
        <v>688</v>
      </c>
      <c r="F335" s="46" t="s">
        <v>67</v>
      </c>
      <c r="G335" s="46" t="s">
        <v>37</v>
      </c>
      <c r="H335" s="46">
        <v>1</v>
      </c>
      <c r="I335" s="47">
        <v>385</v>
      </c>
      <c r="J335" s="48">
        <v>385</v>
      </c>
      <c r="K335" s="54">
        <v>6</v>
      </c>
      <c r="L335" s="25" t="str">
        <f>HYPERLINK("http://pirotehnika-optom.ru/233-girlyandy-optom/6024-girlyanda-nit-so-vstroennymi-smd-diodami-10-m-belaya-6024.html","Просмотр")</f>
        <v>0</v>
      </c>
    </row>
    <row r="336" spans="1:12" customHeight="1" ht="11.25">
      <c r="A336" s="43">
        <v>322</v>
      </c>
      <c r="B336" s="44" t="s">
        <v>37</v>
      </c>
      <c r="C336" s="45" t="s">
        <v>37</v>
      </c>
      <c r="D336" s="43" t="s">
        <v>689</v>
      </c>
      <c r="E336" s="45" t="s">
        <v>690</v>
      </c>
      <c r="F336" s="46" t="s">
        <v>67</v>
      </c>
      <c r="G336" s="46" t="s">
        <v>37</v>
      </c>
      <c r="H336" s="46">
        <v>1</v>
      </c>
      <c r="I336" s="47">
        <v>1172.5</v>
      </c>
      <c r="J336" s="48">
        <v>1172.5</v>
      </c>
      <c r="K336" s="54">
        <v>2</v>
      </c>
      <c r="L336" s="25" t="str">
        <f>HYPERLINK("http://pirotehnika-optom.ru/233-girlyandy-optom/6485-girlyanda-nit-ulichnaya-30-m-art-wm-300l-zelenaya-6485.html","Просмотр")</f>
        <v>0</v>
      </c>
    </row>
    <row r="337" spans="1:12" customHeight="1" ht="11.25">
      <c r="A337" s="43">
        <v>323</v>
      </c>
      <c r="B337" s="44" t="s">
        <v>37</v>
      </c>
      <c r="C337" s="45" t="s">
        <v>37</v>
      </c>
      <c r="D337" s="43" t="s">
        <v>691</v>
      </c>
      <c r="E337" s="45" t="s">
        <v>692</v>
      </c>
      <c r="F337" s="46" t="s">
        <v>67</v>
      </c>
      <c r="G337" s="46" t="s">
        <v>37</v>
      </c>
      <c r="H337" s="46">
        <v>1</v>
      </c>
      <c r="I337" s="47">
        <v>1172.5</v>
      </c>
      <c r="J337" s="48">
        <v>1172.5</v>
      </c>
      <c r="K337" s="54">
        <v>2</v>
      </c>
      <c r="L337" s="25" t="str">
        <f>HYPERLINK("http://pirotehnika-optom.ru/233-girlyandy-optom/6486-girlyanda-nit-ulichnaya-30-m-art-wm-300l-rozovaya-6486.html","Просмотр")</f>
        <v>0</v>
      </c>
    </row>
    <row r="338" spans="1:12" customHeight="1" ht="11.25">
      <c r="A338" s="43">
        <v>324</v>
      </c>
      <c r="B338" s="44" t="s">
        <v>37</v>
      </c>
      <c r="C338" s="45" t="s">
        <v>37</v>
      </c>
      <c r="D338" s="43" t="s">
        <v>693</v>
      </c>
      <c r="E338" s="45" t="s">
        <v>694</v>
      </c>
      <c r="F338" s="46" t="s">
        <v>67</v>
      </c>
      <c r="G338" s="46" t="s">
        <v>37</v>
      </c>
      <c r="H338" s="46">
        <v>1</v>
      </c>
      <c r="I338" s="47">
        <v>1347.5</v>
      </c>
      <c r="J338" s="48">
        <v>1347.5</v>
      </c>
      <c r="K338" s="54">
        <v>1</v>
      </c>
      <c r="L338" s="25" t="str">
        <f>HYPERLINK("http://pirotehnika-optom.ru/233-girlyandy-optom/6456-girlyanda-nit-ulichnaya-shariki-matovaya-10-m-belaya-6456.html","Просмотр")</f>
        <v>0</v>
      </c>
    </row>
    <row r="339" spans="1:12" customHeight="1" ht="11.25">
      <c r="A339" s="43">
        <v>325</v>
      </c>
      <c r="B339" s="44" t="s">
        <v>37</v>
      </c>
      <c r="C339" s="45" t="s">
        <v>37</v>
      </c>
      <c r="D339" s="43" t="s">
        <v>695</v>
      </c>
      <c r="E339" s="45" t="s">
        <v>696</v>
      </c>
      <c r="F339" s="46" t="s">
        <v>67</v>
      </c>
      <c r="G339" s="46" t="s">
        <v>37</v>
      </c>
      <c r="H339" s="46">
        <v>1</v>
      </c>
      <c r="I339" s="47">
        <v>980</v>
      </c>
      <c r="J339" s="48">
        <v>980</v>
      </c>
      <c r="K339" s="54">
        <v>1</v>
      </c>
      <c r="L339" s="25" t="str">
        <f>HYPERLINK("http://pirotehnika-optom.ru/233-girlyandy-optom/6018-girlyanda-shtora-3020-m-s-pultom-belaya-6018.html","Просмотр")</f>
        <v>0</v>
      </c>
    </row>
    <row r="340" spans="1:12" customHeight="1" ht="11.25">
      <c r="A340" s="43">
        <v>326</v>
      </c>
      <c r="B340" s="44" t="s">
        <v>37</v>
      </c>
      <c r="C340" s="45" t="s">
        <v>37</v>
      </c>
      <c r="D340" s="43" t="s">
        <v>697</v>
      </c>
      <c r="E340" s="45" t="s">
        <v>698</v>
      </c>
      <c r="F340" s="46" t="s">
        <v>67</v>
      </c>
      <c r="G340" s="46" t="s">
        <v>37</v>
      </c>
      <c r="H340" s="46">
        <v>1</v>
      </c>
      <c r="I340" s="47">
        <v>1277.5</v>
      </c>
      <c r="J340" s="48">
        <v>1277.5</v>
      </c>
      <c r="K340" s="54">
        <v>3</v>
      </c>
      <c r="L340" s="25" t="str">
        <f>HYPERLINK("http://pirotehnika-optom.ru/233-girlyandy-optom/6020-girlyanda-shtora-so-vstroennymi-smd-diodami-3020-m-belaya-6020.html","Просмотр")</f>
        <v>0</v>
      </c>
    </row>
    <row r="341" spans="1:12" customHeight="1" ht="11.25">
      <c r="A341" s="43">
        <v>327</v>
      </c>
      <c r="B341" s="44" t="s">
        <v>37</v>
      </c>
      <c r="C341" s="45" t="s">
        <v>37</v>
      </c>
      <c r="D341" s="43" t="s">
        <v>699</v>
      </c>
      <c r="E341" s="45" t="s">
        <v>700</v>
      </c>
      <c r="F341" s="46" t="s">
        <v>67</v>
      </c>
      <c r="G341" s="46" t="s">
        <v>37</v>
      </c>
      <c r="H341" s="46">
        <v>1</v>
      </c>
      <c r="I341" s="47">
        <v>1277.5</v>
      </c>
      <c r="J341" s="48">
        <v>1277.5</v>
      </c>
      <c r="K341" s="54">
        <v>3</v>
      </c>
      <c r="L341" s="25" t="str">
        <f>HYPERLINK("http://pirotehnika-optom.ru/233-girlyandy-optom/6021-girlyanda-shtora-so-vstroennymi-smd-diodami-3020-m-belaya-6021.html","Просмотр")</f>
        <v>0</v>
      </c>
    </row>
    <row r="342" spans="1:12" customHeight="1" ht="11.25">
      <c r="A342" s="43">
        <v>328</v>
      </c>
      <c r="B342" s="44" t="s">
        <v>37</v>
      </c>
      <c r="C342" s="45" t="s">
        <v>37</v>
      </c>
      <c r="D342" s="43" t="s">
        <v>701</v>
      </c>
      <c r="E342" s="45" t="s">
        <v>702</v>
      </c>
      <c r="F342" s="46" t="s">
        <v>67</v>
      </c>
      <c r="G342" s="46" t="s">
        <v>37</v>
      </c>
      <c r="H342" s="46">
        <v>1</v>
      </c>
      <c r="I342" s="47">
        <v>1277.5</v>
      </c>
      <c r="J342" s="48">
        <v>1277.5</v>
      </c>
      <c r="K342" s="54">
        <v>5</v>
      </c>
      <c r="L342" s="25" t="str">
        <f>HYPERLINK("http://pirotehnika-optom.ru/233-girlyandy-optom/6022-girlyanda-shtora-so-vstroennymi-smd-diodami-3020-m-belaya-6022.html","Просмотр")</f>
        <v>0</v>
      </c>
    </row>
    <row r="343" spans="1:12" customHeight="1" ht="11.25">
      <c r="A343" s="43">
        <v>329</v>
      </c>
      <c r="B343" s="44" t="s">
        <v>37</v>
      </c>
      <c r="C343" s="45" t="s">
        <v>37</v>
      </c>
      <c r="D343" s="43" t="s">
        <v>703</v>
      </c>
      <c r="E343" s="45" t="s">
        <v>704</v>
      </c>
      <c r="F343" s="46" t="s">
        <v>67</v>
      </c>
      <c r="G343" s="46" t="s">
        <v>37</v>
      </c>
      <c r="H343" s="46">
        <v>1</v>
      </c>
      <c r="I343" s="47">
        <v>595</v>
      </c>
      <c r="J343" s="48">
        <v>595</v>
      </c>
      <c r="K343" s="54">
        <v>5</v>
      </c>
      <c r="L343" s="25" t="str">
        <f>HYPERLINK("http://pirotehnika-optom.ru/233-girlyandy-optom/6010-girlyanda-shariki-matovye-5-m-krasnaya-6010.html","Просмотр")</f>
        <v>0</v>
      </c>
    </row>
    <row r="344" spans="1:12" customHeight="1" ht="11.25">
      <c r="A344" s="43">
        <v>330</v>
      </c>
      <c r="B344" s="44" t="s">
        <v>37</v>
      </c>
      <c r="C344" s="45" t="s">
        <v>37</v>
      </c>
      <c r="D344" s="43" t="s">
        <v>705</v>
      </c>
      <c r="E344" s="45" t="s">
        <v>706</v>
      </c>
      <c r="F344" s="46" t="s">
        <v>67</v>
      </c>
      <c r="G344" s="46" t="s">
        <v>37</v>
      </c>
      <c r="H344" s="46">
        <v>1</v>
      </c>
      <c r="I344" s="47">
        <v>595</v>
      </c>
      <c r="J344" s="48">
        <v>595</v>
      </c>
      <c r="K344" s="54">
        <v>5</v>
      </c>
      <c r="L344" s="25" t="str">
        <f>HYPERLINK("http://pirotehnika-optom.ru/233-girlyandy-optom/6007-girlyanda-shariki-matovye-5-m-krasnaya-6007.html","Просмотр")</f>
        <v>0</v>
      </c>
    </row>
    <row r="345" spans="1:12" customHeight="1" ht="11.25">
      <c r="A345" s="43">
        <v>331</v>
      </c>
      <c r="B345" s="44" t="s">
        <v>37</v>
      </c>
      <c r="C345" s="45" t="s">
        <v>37</v>
      </c>
      <c r="D345" s="43" t="s">
        <v>707</v>
      </c>
      <c r="E345" s="45" t="s">
        <v>708</v>
      </c>
      <c r="F345" s="46" t="s">
        <v>67</v>
      </c>
      <c r="G345" s="46" t="s">
        <v>37</v>
      </c>
      <c r="H345" s="46">
        <v>1</v>
      </c>
      <c r="I345" s="47">
        <v>595</v>
      </c>
      <c r="J345" s="48">
        <v>595</v>
      </c>
      <c r="K345" s="54">
        <v>5</v>
      </c>
      <c r="L345" s="25" t="str">
        <f>HYPERLINK("http://pirotehnika-optom.ru/233-girlyandy-optom/6008-girlyanda-shariki-matovye-5-m-krasnaya-6008.html","Просмотр")</f>
        <v>0</v>
      </c>
    </row>
    <row r="346" spans="1:12" customHeight="1" ht="11.25">
      <c r="A346" s="43">
        <v>332</v>
      </c>
      <c r="B346" s="44" t="s">
        <v>37</v>
      </c>
      <c r="C346" s="45" t="s">
        <v>37</v>
      </c>
      <c r="D346" s="43" t="s">
        <v>709</v>
      </c>
      <c r="E346" s="45" t="s">
        <v>710</v>
      </c>
      <c r="F346" s="46" t="s">
        <v>67</v>
      </c>
      <c r="G346" s="46" t="s">
        <v>37</v>
      </c>
      <c r="H346" s="46">
        <v>1</v>
      </c>
      <c r="I346" s="47">
        <v>595</v>
      </c>
      <c r="J346" s="48">
        <v>595</v>
      </c>
      <c r="K346" s="54">
        <v>3</v>
      </c>
      <c r="L346" s="25" t="str">
        <f>HYPERLINK("http://pirotehnika-optom.ru/233-girlyandy-optom/6009-girlyanda-shariki-matovye-5-m-krasnaya-6009.html","Просмотр")</f>
        <v>0</v>
      </c>
    </row>
    <row r="347" spans="1:12" customHeight="1" ht="11.25">
      <c r="A347" s="43">
        <v>333</v>
      </c>
      <c r="B347" s="44" t="s">
        <v>37</v>
      </c>
      <c r="C347" s="45" t="s">
        <v>37</v>
      </c>
      <c r="D347" s="43" t="s">
        <v>711</v>
      </c>
      <c r="E347" s="45" t="s">
        <v>712</v>
      </c>
      <c r="F347" s="46" t="s">
        <v>67</v>
      </c>
      <c r="G347" s="46" t="s">
        <v>37</v>
      </c>
      <c r="H347" s="46">
        <v>1</v>
      </c>
      <c r="I347" s="47">
        <v>1085</v>
      </c>
      <c r="J347" s="48">
        <v>1085</v>
      </c>
      <c r="K347" s="54">
        <v>1</v>
      </c>
      <c r="L347" s="25" t="str">
        <f>HYPERLINK("http://pirotehnika-optom.ru/233-girlyandy-optom/6058-girlyanda-svetodiodnaya-shary-s-napolneniem-shariki-3m-12-sharov-belaya-6058.html","Просмотр")</f>
        <v>0</v>
      </c>
    </row>
    <row r="348" spans="1:12" customHeight="1" ht="11.25">
      <c r="A348" s="43">
        <v>334</v>
      </c>
      <c r="B348" s="44" t="s">
        <v>37</v>
      </c>
      <c r="C348" s="45" t="s">
        <v>37</v>
      </c>
      <c r="D348" s="43" t="s">
        <v>713</v>
      </c>
      <c r="E348" s="45" t="s">
        <v>714</v>
      </c>
      <c r="F348" s="46" t="s">
        <v>67</v>
      </c>
      <c r="G348" s="46" t="s">
        <v>37</v>
      </c>
      <c r="H348" s="46">
        <v>1</v>
      </c>
      <c r="I348" s="47">
        <v>1085</v>
      </c>
      <c r="J348" s="48">
        <v>1085</v>
      </c>
      <c r="K348" s="54">
        <v>1</v>
      </c>
      <c r="L348" s="25" t="str">
        <f>HYPERLINK("http://pirotehnika-optom.ru/233-girlyandy-optom/6059-girlyanda-svetodiodnaya-shary-s-napolneniem-shariki-3m-12-sharov-belaya-6059.html","Просмотр")</f>
        <v>0</v>
      </c>
    </row>
    <row r="349" spans="1:12" customHeight="1" ht="11.25">
      <c r="A349" s="43">
        <v>335</v>
      </c>
      <c r="B349" s="44" t="s">
        <v>37</v>
      </c>
      <c r="C349" s="45" t="s">
        <v>37</v>
      </c>
      <c r="D349" s="43" t="s">
        <v>715</v>
      </c>
      <c r="E349" s="45" t="s">
        <v>716</v>
      </c>
      <c r="F349" s="46" t="s">
        <v>67</v>
      </c>
      <c r="G349" s="46" t="s">
        <v>37</v>
      </c>
      <c r="H349" s="46">
        <v>1</v>
      </c>
      <c r="I349" s="47">
        <v>4410</v>
      </c>
      <c r="J349" s="48">
        <v>4410</v>
      </c>
      <c r="K349" s="54">
        <v>9</v>
      </c>
      <c r="L349" s="25" t="str">
        <f>HYPERLINK("http://pirotehnika-optom.ru/233-girlyandy-optom/5915-girlyanda-ulichnaya-shtora-2000-led3kh2msinyaya-5915.html","Просмотр")</f>
        <v>0</v>
      </c>
    </row>
    <row r="350" spans="1:12" customHeight="1" ht="11.25">
      <c r="A350" s="43">
        <v>336</v>
      </c>
      <c r="B350" s="44" t="s">
        <v>37</v>
      </c>
      <c r="C350" s="45" t="s">
        <v>37</v>
      </c>
      <c r="D350" s="43" t="s">
        <v>717</v>
      </c>
      <c r="E350" s="45" t="s">
        <v>718</v>
      </c>
      <c r="F350" s="46" t="s">
        <v>67</v>
      </c>
      <c r="G350" s="46" t="s">
        <v>37</v>
      </c>
      <c r="H350" s="46">
        <v>1</v>
      </c>
      <c r="I350" s="47">
        <v>4410</v>
      </c>
      <c r="J350" s="48">
        <v>4410</v>
      </c>
      <c r="K350" s="54">
        <v>2</v>
      </c>
      <c r="L350" s="25" t="str">
        <f>HYPERLINK("http://pirotehnika-optom.ru/233-girlyandy-optom/5916-girlyanda-ulichnaya-shtora-2000-led3kh2mtepl-svet-5916.html","Просмотр")</f>
        <v>0</v>
      </c>
    </row>
    <row r="351" spans="1:12" customHeight="1" ht="11.25">
      <c r="A351" s="43">
        <v>337</v>
      </c>
      <c r="B351" s="44" t="s">
        <v>37</v>
      </c>
      <c r="C351" s="45" t="s">
        <v>37</v>
      </c>
      <c r="D351" s="43" t="s">
        <v>719</v>
      </c>
      <c r="E351" s="45" t="s">
        <v>720</v>
      </c>
      <c r="F351" s="46" t="s">
        <v>67</v>
      </c>
      <c r="G351" s="46" t="s">
        <v>37</v>
      </c>
      <c r="H351" s="46">
        <v>1</v>
      </c>
      <c r="I351" s="47">
        <v>5197.5</v>
      </c>
      <c r="J351" s="48">
        <v>5197.5</v>
      </c>
      <c r="K351" s="54">
        <v>2</v>
      </c>
      <c r="L351" s="25" t="str">
        <f>HYPERLINK("http://pirotehnika-optom.ru/233-girlyandy-optom/5917-girlyanda-ulichnaya-shtora-2500-led3kh3mtepl-svet-5917.html","Просмотр")</f>
        <v>0</v>
      </c>
    </row>
    <row r="352" spans="1:12" customHeight="1" ht="11.25">
      <c r="A352" s="43">
        <v>338</v>
      </c>
      <c r="B352" s="44" t="s">
        <v>37</v>
      </c>
      <c r="C352" s="45" t="s">
        <v>37</v>
      </c>
      <c r="D352" s="43" t="s">
        <v>721</v>
      </c>
      <c r="E352" s="45" t="s">
        <v>722</v>
      </c>
      <c r="F352" s="46" t="s">
        <v>67</v>
      </c>
      <c r="G352" s="46" t="s">
        <v>37</v>
      </c>
      <c r="H352" s="46">
        <v>1</v>
      </c>
      <c r="I352" s="47">
        <v>1522.5</v>
      </c>
      <c r="J352" s="48">
        <v>1522.5</v>
      </c>
      <c r="K352" s="54">
        <v>1</v>
      </c>
      <c r="L352" s="25" t="str">
        <f>HYPERLINK("http://pirotehnika-optom.ru/233-girlyandy-optom/6449-girlyanda-shtora-shariki-3020-m-belaya-6449.html","Просмотр")</f>
        <v>0</v>
      </c>
    </row>
    <row r="353" spans="1:12" customHeight="1" ht="11.25">
      <c r="A353" s="43">
        <v>339</v>
      </c>
      <c r="B353" s="44" t="s">
        <v>37</v>
      </c>
      <c r="C353" s="45" t="s">
        <v>37</v>
      </c>
      <c r="D353" s="43" t="s">
        <v>723</v>
      </c>
      <c r="E353" s="45" t="s">
        <v>724</v>
      </c>
      <c r="F353" s="46" t="s">
        <v>67</v>
      </c>
      <c r="G353" s="46" t="s">
        <v>37</v>
      </c>
      <c r="H353" s="46">
        <v>1</v>
      </c>
      <c r="I353" s="47">
        <v>1037.02</v>
      </c>
      <c r="J353" s="48">
        <v>1037.02</v>
      </c>
      <c r="K353" s="54">
        <v>5</v>
      </c>
      <c r="L353" s="25" t="str">
        <f>HYPERLINK("http://pirotehnika-optom.ru/233-girlyandy-optom/5951-girlyanda-zvezdy-4-m-12-zvezd-5951.html","Просмотр")</f>
        <v>0</v>
      </c>
    </row>
    <row r="354" spans="1:12" customHeight="1" ht="11.25">
      <c r="A354" s="43">
        <v>340</v>
      </c>
      <c r="B354" s="44" t="s">
        <v>37</v>
      </c>
      <c r="C354" s="45" t="s">
        <v>37</v>
      </c>
      <c r="D354" s="43" t="s">
        <v>725</v>
      </c>
      <c r="E354" s="45" t="s">
        <v>726</v>
      </c>
      <c r="F354" s="46" t="s">
        <v>67</v>
      </c>
      <c r="G354" s="46" t="s">
        <v>37</v>
      </c>
      <c r="H354" s="46">
        <v>1</v>
      </c>
      <c r="I354" s="47">
        <v>1037.02</v>
      </c>
      <c r="J354" s="48">
        <v>1037.02</v>
      </c>
      <c r="K354" s="54">
        <v>1</v>
      </c>
      <c r="L354" s="25" t="str">
        <f>HYPERLINK("http://pirotehnika-optom.ru/233-girlyandy-optom/5952-girlyanda-zvezdy-4-m-12-zvezd-5952.html","Просмотр")</f>
        <v>0</v>
      </c>
    </row>
    <row r="355" spans="1:12" customHeight="1" ht="11.25">
      <c r="A355" s="43">
        <v>341</v>
      </c>
      <c r="B355" s="44" t="s">
        <v>37</v>
      </c>
      <c r="C355" s="45" t="s">
        <v>37</v>
      </c>
      <c r="D355" s="43" t="s">
        <v>727</v>
      </c>
      <c r="E355" s="45" t="s">
        <v>728</v>
      </c>
      <c r="F355" s="46" t="s">
        <v>67</v>
      </c>
      <c r="G355" s="46" t="s">
        <v>37</v>
      </c>
      <c r="H355" s="46">
        <v>1</v>
      </c>
      <c r="I355" s="47">
        <v>444.43</v>
      </c>
      <c r="J355" s="48">
        <v>444.43</v>
      </c>
      <c r="K355" s="54">
        <v>6</v>
      </c>
      <c r="L355" s="25" t="str">
        <f>HYPERLINK("http://pirotehnika-optom.ru/233-girlyandy-optom/6416-girlyanda-nit-svetodiodnaya-12-m-6416.html","Просмотр")</f>
        <v>0</v>
      </c>
    </row>
    <row r="356" spans="1:12" customHeight="1" ht="11.25">
      <c r="A356" s="43">
        <v>342</v>
      </c>
      <c r="B356" s="44" t="s">
        <v>37</v>
      </c>
      <c r="C356" s="45" t="s">
        <v>37</v>
      </c>
      <c r="D356" s="43" t="s">
        <v>729</v>
      </c>
      <c r="E356" s="45" t="s">
        <v>730</v>
      </c>
      <c r="F356" s="46" t="s">
        <v>67</v>
      </c>
      <c r="G356" s="46" t="s">
        <v>37</v>
      </c>
      <c r="H356" s="46">
        <v>1</v>
      </c>
      <c r="I356" s="47">
        <v>574.0700000000001</v>
      </c>
      <c r="J356" s="48">
        <v>574.0700000000001</v>
      </c>
      <c r="K356" s="54">
        <v>6</v>
      </c>
      <c r="L356" s="25" t="str">
        <f>HYPERLINK("http://pirotehnika-optom.ru/233-girlyandy-optom/6410-girlyanda-nit-svetodiodnaya-17-m-raznocvetnaya-6410.html","Просмотр")</f>
        <v>0</v>
      </c>
    </row>
    <row r="357" spans="1:12" customHeight="1" ht="11.25">
      <c r="A357" s="43">
        <v>343</v>
      </c>
      <c r="B357" s="44" t="s">
        <v>37</v>
      </c>
      <c r="C357" s="45" t="s">
        <v>37</v>
      </c>
      <c r="D357" s="43" t="s">
        <v>731</v>
      </c>
      <c r="E357" s="45" t="s">
        <v>732</v>
      </c>
      <c r="F357" s="46" t="s">
        <v>67</v>
      </c>
      <c r="G357" s="46" t="s">
        <v>37</v>
      </c>
      <c r="H357" s="46">
        <v>1</v>
      </c>
      <c r="I357" s="47">
        <v>222.22</v>
      </c>
      <c r="J357" s="48">
        <v>222.22</v>
      </c>
      <c r="K357" s="54">
        <v>5</v>
      </c>
      <c r="L357" s="25" t="str">
        <f>HYPERLINK("http://pirotehnika-optom.ru/233-girlyandy-optom/5913-svetodiodnaya-girlyanda-100-led-7-metrov-belaya-5913.html","Просмотр")</f>
        <v>0</v>
      </c>
    </row>
    <row r="358" spans="1:12" customHeight="1" ht="11.25">
      <c r="A358" s="43">
        <v>344</v>
      </c>
      <c r="B358" s="44" t="s">
        <v>37</v>
      </c>
      <c r="C358" s="45" t="s">
        <v>37</v>
      </c>
      <c r="D358" s="43" t="s">
        <v>733</v>
      </c>
      <c r="E358" s="45" t="s">
        <v>734</v>
      </c>
      <c r="F358" s="46" t="s">
        <v>67</v>
      </c>
      <c r="G358" s="46" t="s">
        <v>37</v>
      </c>
      <c r="H358" s="46">
        <v>1</v>
      </c>
      <c r="I358" s="47">
        <v>222.22</v>
      </c>
      <c r="J358" s="48">
        <v>222.22</v>
      </c>
      <c r="K358" s="54">
        <v>10</v>
      </c>
      <c r="L358" s="25" t="str">
        <f>HYPERLINK("http://pirotehnika-optom.ru/233-girlyandy-optom/6443-svetodiodnaya-girlyanda-100-led-7-metrov-teplyj-svet-6443.html","Просмотр")</f>
        <v>0</v>
      </c>
    </row>
    <row r="359" spans="1:12" customHeight="1" ht="11.25">
      <c r="A359" s="43">
        <v>345</v>
      </c>
      <c r="B359" s="44" t="s">
        <v>37</v>
      </c>
      <c r="C359" s="45" t="s">
        <v>37</v>
      </c>
      <c r="D359" s="43" t="s">
        <v>735</v>
      </c>
      <c r="E359" s="45" t="s">
        <v>736</v>
      </c>
      <c r="F359" s="46" t="s">
        <v>67</v>
      </c>
      <c r="G359" s="46" t="s">
        <v>37</v>
      </c>
      <c r="H359" s="46">
        <v>1</v>
      </c>
      <c r="I359" s="47">
        <v>2203.67</v>
      </c>
      <c r="J359" s="48">
        <v>2203.67</v>
      </c>
      <c r="K359" s="54">
        <v>1</v>
      </c>
      <c r="L359" s="25" t="str">
        <f>HYPERLINK("http://pirotehnika-optom.ru/233-girlyandy-optom/6431-girlyanda-nit-ulichnaya-na-katushke-50-m-belaya-6431.html","Просмотр")</f>
        <v>0</v>
      </c>
    </row>
    <row r="360" spans="1:12" customHeight="1" ht="11.25">
      <c r="A360" s="43">
        <v>346</v>
      </c>
      <c r="B360" s="44" t="s">
        <v>37</v>
      </c>
      <c r="C360" s="45" t="s">
        <v>37</v>
      </c>
      <c r="D360" s="43" t="s">
        <v>737</v>
      </c>
      <c r="E360" s="45" t="s">
        <v>738</v>
      </c>
      <c r="F360" s="46" t="s">
        <v>67</v>
      </c>
      <c r="G360" s="46" t="s">
        <v>37</v>
      </c>
      <c r="H360" s="46">
        <v>1</v>
      </c>
      <c r="I360" s="47">
        <v>1032.5</v>
      </c>
      <c r="J360" s="48">
        <v>1032.5</v>
      </c>
      <c r="K360" s="54">
        <v>1</v>
      </c>
      <c r="L360" s="25" t="str">
        <f>HYPERLINK("http://pirotehnika-optom.ru/233-girlyandy-optom/6434-proektor-lazernyj-domashnij-sinij-6434.html","Просмотр")</f>
        <v>0</v>
      </c>
    </row>
    <row r="361" spans="1:12" customHeight="1" ht="11.25">
      <c r="A361" s="43">
        <v>347</v>
      </c>
      <c r="B361" s="44" t="s">
        <v>37</v>
      </c>
      <c r="C361" s="45" t="s">
        <v>37</v>
      </c>
      <c r="D361" s="43" t="s">
        <v>739</v>
      </c>
      <c r="E361" s="45" t="s">
        <v>740</v>
      </c>
      <c r="F361" s="46" t="s">
        <v>67</v>
      </c>
      <c r="G361" s="46" t="s">
        <v>37</v>
      </c>
      <c r="H361" s="46">
        <v>1</v>
      </c>
      <c r="I361" s="47">
        <v>462.96</v>
      </c>
      <c r="J361" s="48">
        <v>462.96</v>
      </c>
      <c r="K361" s="54">
        <v>16</v>
      </c>
      <c r="L361" s="25" t="str">
        <f>HYPERLINK("http://pirotehnika-optom.ru/233-girlyandy-optom/5920-svetodiodnaya-girlyanda-shtora-15kh15msinyaya-5920.html","Просмотр")</f>
        <v>0</v>
      </c>
    </row>
    <row r="362" spans="1:12" customHeight="1" ht="11.25">
      <c r="A362" s="43">
        <v>348</v>
      </c>
      <c r="B362" s="44" t="s">
        <v>37</v>
      </c>
      <c r="C362" s="45" t="s">
        <v>37</v>
      </c>
      <c r="D362" s="43" t="s">
        <v>741</v>
      </c>
      <c r="E362" s="45" t="s">
        <v>742</v>
      </c>
      <c r="F362" s="46" t="s">
        <v>67</v>
      </c>
      <c r="G362" s="46" t="s">
        <v>37</v>
      </c>
      <c r="H362" s="46">
        <v>1</v>
      </c>
      <c r="I362" s="47">
        <v>537.02</v>
      </c>
      <c r="J362" s="48">
        <v>537.02</v>
      </c>
      <c r="K362" s="54">
        <v>2</v>
      </c>
      <c r="L362" s="25" t="str">
        <f>HYPERLINK("http://pirotehnika-optom.ru/233-girlyandy-optom/6460-svetodiodnaya-girlyanda-shtora-18kh18mraznocvet-6460.html","Просмотр")</f>
        <v>0</v>
      </c>
    </row>
    <row r="363" spans="1:12" customHeight="1" ht="11.25">
      <c r="A363" s="43">
        <v>349</v>
      </c>
      <c r="B363" s="44" t="s">
        <v>37</v>
      </c>
      <c r="C363" s="45" t="s">
        <v>743</v>
      </c>
      <c r="D363" s="43">
        <v>55002</v>
      </c>
      <c r="E363" s="45" t="s">
        <v>744</v>
      </c>
      <c r="F363" s="46" t="s">
        <v>67</v>
      </c>
      <c r="G363" s="46" t="s">
        <v>37</v>
      </c>
      <c r="H363" s="46">
        <v>4</v>
      </c>
      <c r="I363" s="47">
        <v>914.76</v>
      </c>
      <c r="J363" s="48">
        <v>914.76</v>
      </c>
      <c r="K363" s="54">
        <v>2</v>
      </c>
      <c r="L363" s="25" t="str">
        <f>HYPERLINK("http://pirotehnika-optom.ru/233-girlyandy-optom/4482-elektrogirlyanda-nit-48-sinikh-led-5m.html","Просмотр")</f>
        <v>0</v>
      </c>
    </row>
    <row r="364" spans="1:12" customHeight="1" ht="11.25">
      <c r="A364" s="43">
        <v>350</v>
      </c>
      <c r="B364" s="44" t="s">
        <v>37</v>
      </c>
      <c r="C364" s="45" t="s">
        <v>37</v>
      </c>
      <c r="D364" s="43" t="s">
        <v>745</v>
      </c>
      <c r="E364" s="45" t="s">
        <v>746</v>
      </c>
      <c r="F364" s="46" t="s">
        <v>67</v>
      </c>
      <c r="G364" s="46" t="s">
        <v>37</v>
      </c>
      <c r="H364" s="46">
        <v>20</v>
      </c>
      <c r="I364" s="47">
        <v>356.82</v>
      </c>
      <c r="J364" s="48">
        <v>356.82</v>
      </c>
      <c r="K364" s="54">
        <v>2</v>
      </c>
      <c r="L364" s="25" t="str">
        <f>HYPERLINK("http://pirotehnika-optom.ru/233-girlyandy-optom/6515-elektrogirlyanda-nit-50-kholodnykh-led-lamp-6515.html","Просмотр")</f>
        <v>0</v>
      </c>
    </row>
    <row r="365" spans="1:12" customHeight="1" ht="11.25">
      <c r="A365" s="43">
        <v>351</v>
      </c>
      <c r="B365" s="44" t="s">
        <v>37</v>
      </c>
      <c r="C365" s="45" t="s">
        <v>37</v>
      </c>
      <c r="D365" s="43" t="s">
        <v>747</v>
      </c>
      <c r="E365" s="45" t="s">
        <v>748</v>
      </c>
      <c r="F365" s="46" t="s">
        <v>67</v>
      </c>
      <c r="G365" s="46" t="s">
        <v>37</v>
      </c>
      <c r="H365" s="46">
        <v>20</v>
      </c>
      <c r="I365" s="47">
        <v>589.05</v>
      </c>
      <c r="J365" s="48">
        <v>589.05</v>
      </c>
      <c r="K365" s="54">
        <v>1</v>
      </c>
      <c r="L365" s="25" t="str">
        <f>HYPERLINK("http://pirotehnika-optom.ru/233-girlyandy-optom/6484-elektrogirlyanda-nit-200-kholodnykh-led-lamp-6484.html","Просмотр")</f>
        <v>0</v>
      </c>
    </row>
    <row r="366" spans="1:12" customHeight="1" ht="11.25">
      <c r="A366" s="43">
        <v>352</v>
      </c>
      <c r="B366" s="44" t="s">
        <v>37</v>
      </c>
      <c r="C366" s="45" t="s">
        <v>37</v>
      </c>
      <c r="D366" s="43" t="s">
        <v>749</v>
      </c>
      <c r="E366" s="45" t="s">
        <v>750</v>
      </c>
      <c r="F366" s="46" t="s">
        <v>67</v>
      </c>
      <c r="G366" s="46" t="s">
        <v>37</v>
      </c>
      <c r="H366" s="46">
        <v>20</v>
      </c>
      <c r="I366" s="47">
        <v>1219.05</v>
      </c>
      <c r="J366" s="48">
        <v>1219.05</v>
      </c>
      <c r="K366" s="54">
        <v>3</v>
      </c>
      <c r="L366" s="25" t="str">
        <f>HYPERLINK("http://pirotehnika-optom.ru/233-girlyandy-optom/5970-elektrogirlyanda-set-176-kholodnykh-led-lamp-5970.html","Просмотр")</f>
        <v>0</v>
      </c>
    </row>
    <row r="367" spans="1:12" customHeight="1" ht="11.25">
      <c r="A367" s="43">
        <v>353</v>
      </c>
      <c r="B367" s="44" t="s">
        <v>37</v>
      </c>
      <c r="C367" s="45" t="s">
        <v>37</v>
      </c>
      <c r="D367" s="43" t="s">
        <v>751</v>
      </c>
      <c r="E367" s="45" t="s">
        <v>752</v>
      </c>
      <c r="F367" s="46" t="s">
        <v>67</v>
      </c>
      <c r="G367" s="46" t="s">
        <v>37</v>
      </c>
      <c r="H367" s="46">
        <v>20</v>
      </c>
      <c r="I367" s="47">
        <v>874.65</v>
      </c>
      <c r="J367" s="48">
        <v>874.65</v>
      </c>
      <c r="K367" s="54">
        <v>6</v>
      </c>
      <c r="L367" s="25" t="str">
        <f>HYPERLINK("http://pirotehnika-optom.ru/233-girlyandy-optom/5966-elektrogirlyanda-cvetochki-80-raznocvetnykh-led-lamp-5966.html","Просмотр")</f>
        <v>0</v>
      </c>
    </row>
    <row r="368" spans="1:12" customHeight="1" ht="11.25">
      <c r="A368" s="43">
        <v>354</v>
      </c>
      <c r="B368" s="44" t="s">
        <v>37</v>
      </c>
      <c r="C368" s="45" t="s">
        <v>37</v>
      </c>
      <c r="D368" s="43">
        <v>55085</v>
      </c>
      <c r="E368" s="45" t="s">
        <v>753</v>
      </c>
      <c r="F368" s="46" t="s">
        <v>67</v>
      </c>
      <c r="G368" s="46" t="s">
        <v>37</v>
      </c>
      <c r="H368" s="46">
        <v>20</v>
      </c>
      <c r="I368" s="47">
        <v>799.58</v>
      </c>
      <c r="J368" s="48">
        <v>799.58</v>
      </c>
      <c r="K368" s="54">
        <v>2</v>
      </c>
      <c r="L368" s="25" t="str">
        <f>HYPERLINK("http://pirotehnika-optom.ru/233-girlyandy-optom/4470-elektrogirlyanda-zvezdy-35-teplykh-led-lamp.html","Просмотр")</f>
        <v>0</v>
      </c>
    </row>
    <row r="369" spans="1:12" customHeight="1" ht="11.25">
      <c r="A369" s="43">
        <v>355</v>
      </c>
      <c r="B369" s="44" t="s">
        <v>37</v>
      </c>
      <c r="C369" s="45" t="s">
        <v>37</v>
      </c>
      <c r="D369" s="43" t="s">
        <v>754</v>
      </c>
      <c r="E369" s="45" t="s">
        <v>755</v>
      </c>
      <c r="F369" s="46" t="s">
        <v>67</v>
      </c>
      <c r="G369" s="46" t="s">
        <v>37</v>
      </c>
      <c r="H369" s="46">
        <v>6</v>
      </c>
      <c r="I369" s="47">
        <v>1304.1</v>
      </c>
      <c r="J369" s="48">
        <v>1304.1</v>
      </c>
      <c r="K369" s="54">
        <v>2</v>
      </c>
      <c r="L369" s="25" t="str">
        <f>HYPERLINK("http://pirotehnika-optom.ru/233-girlyandy-optom/6476-figura-snegovik-akrilovaya-6476.html","Просмотр")</f>
        <v>0</v>
      </c>
    </row>
    <row r="370" spans="1:12" customHeight="1" ht="11.25">
      <c r="A370" s="43">
        <v>356</v>
      </c>
      <c r="B370" s="44" t="s">
        <v>756</v>
      </c>
      <c r="C370" s="45" t="s">
        <v>757</v>
      </c>
      <c r="D370" s="43" t="s">
        <v>758</v>
      </c>
      <c r="E370" s="45" t="s">
        <v>759</v>
      </c>
      <c r="F370" s="46" t="s">
        <v>67</v>
      </c>
      <c r="G370" s="46" t="s">
        <v>37</v>
      </c>
      <c r="H370" s="46">
        <v>150</v>
      </c>
      <c r="I370" s="47">
        <v>92.40000000000001</v>
      </c>
      <c r="J370" s="48">
        <v>92.40000000000001</v>
      </c>
      <c r="K370" s="54">
        <v>918</v>
      </c>
      <c r="L370" s="25" t="str">
        <f>HYPERLINK("http://pirotehnika-optom.ru/236-kraski-kholi-optom-optom/5582-kraska-kholi-100gr-5582.html","Просмотр")</f>
        <v>0</v>
      </c>
    </row>
    <row r="371" spans="1:12" customHeight="1" ht="11.25">
      <c r="A371" s="43">
        <v>357</v>
      </c>
      <c r="B371" s="44" t="s">
        <v>37</v>
      </c>
      <c r="C371" s="45" t="s">
        <v>37</v>
      </c>
      <c r="D371" s="43" t="s">
        <v>760</v>
      </c>
      <c r="E371" s="45" t="s">
        <v>761</v>
      </c>
      <c r="F371" s="46" t="s">
        <v>67</v>
      </c>
      <c r="G371" s="46" t="s">
        <v>37</v>
      </c>
      <c r="H371" s="46">
        <v>150</v>
      </c>
      <c r="I371" s="47">
        <v>88.2</v>
      </c>
      <c r="J371" s="48">
        <v>88.2</v>
      </c>
      <c r="K371" s="54">
        <v>256</v>
      </c>
      <c r="L371" s="25" t="str">
        <f>HYPERLINK("http://pirotehnika-optom.ru/236-kraski-kholi-optom-optom/6294-kraski-art-fest-alaya-100-gr.html","Просмотр")</f>
        <v>0</v>
      </c>
    </row>
    <row r="372" spans="1:12" customHeight="1" ht="11.25">
      <c r="A372" s="43">
        <v>358</v>
      </c>
      <c r="B372" s="44" t="s">
        <v>37</v>
      </c>
      <c r="C372" s="45" t="s">
        <v>37</v>
      </c>
      <c r="D372" s="43" t="s">
        <v>762</v>
      </c>
      <c r="E372" s="45" t="s">
        <v>763</v>
      </c>
      <c r="F372" s="46" t="s">
        <v>67</v>
      </c>
      <c r="G372" s="46" t="s">
        <v>37</v>
      </c>
      <c r="H372" s="46">
        <v>150</v>
      </c>
      <c r="I372" s="47">
        <v>88.2</v>
      </c>
      <c r="J372" s="48">
        <v>88.2</v>
      </c>
      <c r="K372" s="54">
        <v>239</v>
      </c>
      <c r="L372" s="25" t="str">
        <f>HYPERLINK("http://pirotehnika-optom.ru/236-kraski-kholi-optom-optom/6295-kraski-art-fest-alaya-100-gr-6295.html","Просмотр")</f>
        <v>0</v>
      </c>
    </row>
    <row r="373" spans="1:12" customHeight="1" ht="11.25">
      <c r="A373" s="43">
        <v>359</v>
      </c>
      <c r="B373" s="44" t="s">
        <v>37</v>
      </c>
      <c r="C373" s="45" t="s">
        <v>37</v>
      </c>
      <c r="D373" s="43" t="s">
        <v>764</v>
      </c>
      <c r="E373" s="45" t="s">
        <v>765</v>
      </c>
      <c r="F373" s="46" t="s">
        <v>67</v>
      </c>
      <c r="G373" s="46" t="s">
        <v>37</v>
      </c>
      <c r="H373" s="46">
        <v>150</v>
      </c>
      <c r="I373" s="47">
        <v>88.2</v>
      </c>
      <c r="J373" s="48">
        <v>88.2</v>
      </c>
      <c r="K373" s="54">
        <v>178</v>
      </c>
      <c r="L373" s="25" t="str">
        <f>HYPERLINK("http://pirotehnika-optom.ru/236-kraski-kholi-optom-optom/6296-kraski-art-fest-alaya-100-gr-6295-6296.html","Просмотр")</f>
        <v>0</v>
      </c>
    </row>
    <row r="374" spans="1:12" customHeight="1" ht="11.25">
      <c r="A374" s="43">
        <v>360</v>
      </c>
      <c r="B374" s="44" t="s">
        <v>37</v>
      </c>
      <c r="C374" s="45" t="s">
        <v>37</v>
      </c>
      <c r="D374" s="43" t="s">
        <v>766</v>
      </c>
      <c r="E374" s="45" t="s">
        <v>767</v>
      </c>
      <c r="F374" s="46" t="s">
        <v>67</v>
      </c>
      <c r="G374" s="46" t="s">
        <v>37</v>
      </c>
      <c r="H374" s="46">
        <v>150</v>
      </c>
      <c r="I374" s="47">
        <v>88.2</v>
      </c>
      <c r="J374" s="48">
        <v>88.2</v>
      </c>
      <c r="K374" s="54">
        <v>383</v>
      </c>
      <c r="L374" s="25" t="str">
        <f>HYPERLINK("http://pirotehnika-optom.ru/236-kraski-kholi-optom-optom/6297-kraski-art-fest-alaya-100-gr-6295-6296-6297.html","Просмотр")</f>
        <v>0</v>
      </c>
    </row>
    <row r="375" spans="1:12" customHeight="1" ht="11.25">
      <c r="A375" s="43">
        <v>361</v>
      </c>
      <c r="B375" s="44" t="s">
        <v>37</v>
      </c>
      <c r="C375" s="45" t="s">
        <v>37</v>
      </c>
      <c r="D375" s="43" t="s">
        <v>768</v>
      </c>
      <c r="E375" s="45" t="s">
        <v>769</v>
      </c>
      <c r="F375" s="46" t="s">
        <v>67</v>
      </c>
      <c r="G375" s="46" t="s">
        <v>37</v>
      </c>
      <c r="H375" s="46">
        <v>150</v>
      </c>
      <c r="I375" s="47">
        <v>88.2</v>
      </c>
      <c r="J375" s="48">
        <v>88.2</v>
      </c>
      <c r="K375" s="54">
        <v>76</v>
      </c>
      <c r="L375" s="25" t="str">
        <f>HYPERLINK("http://pirotehnika-optom.ru/236-kraski-kholi-optom-optom/6298-kraski-art-fest-alaya-100-gr-6295-6296-6297-6298.html","Просмотр")</f>
        <v>0</v>
      </c>
    </row>
    <row r="376" spans="1:12" customHeight="1" ht="11.25">
      <c r="A376" s="43">
        <v>362</v>
      </c>
      <c r="B376" s="44" t="s">
        <v>37</v>
      </c>
      <c r="C376" s="45" t="s">
        <v>37</v>
      </c>
      <c r="D376" s="43" t="s">
        <v>770</v>
      </c>
      <c r="E376" s="45" t="s">
        <v>771</v>
      </c>
      <c r="F376" s="46" t="s">
        <v>67</v>
      </c>
      <c r="G376" s="46" t="s">
        <v>37</v>
      </c>
      <c r="H376" s="46">
        <v>150</v>
      </c>
      <c r="I376" s="47">
        <v>88.2</v>
      </c>
      <c r="J376" s="48">
        <v>88.2</v>
      </c>
      <c r="K376" s="54">
        <v>376</v>
      </c>
      <c r="L376" s="25" t="str">
        <f>HYPERLINK("http://pirotehnika-optom.ru/236-kraski-kholi-optom-optom/6300-kraski-art-fest-alaya-100-gr-6295-6296-6297-6298-6299-6300.html","Просмотр")</f>
        <v>0</v>
      </c>
    </row>
    <row r="377" spans="1:12" customHeight="1" ht="11.25">
      <c r="A377" s="43">
        <v>363</v>
      </c>
      <c r="B377" s="44" t="s">
        <v>37</v>
      </c>
      <c r="C377" s="45" t="s">
        <v>37</v>
      </c>
      <c r="D377" s="43" t="s">
        <v>772</v>
      </c>
      <c r="E377" s="45" t="s">
        <v>773</v>
      </c>
      <c r="F377" s="46" t="s">
        <v>67</v>
      </c>
      <c r="G377" s="46" t="s">
        <v>37</v>
      </c>
      <c r="H377" s="46">
        <v>150</v>
      </c>
      <c r="I377" s="47">
        <v>88.2</v>
      </c>
      <c r="J377" s="48">
        <v>88.2</v>
      </c>
      <c r="K377" s="54">
        <v>236</v>
      </c>
      <c r="L377" s="25" t="str">
        <f>HYPERLINK("http://pirotehnika-optom.ru/236-kraski-kholi-optom-optom/6301-kraski-art-fest-alaya-100-gr-6295-6296-6297-6298-6299-6300-6301.html","Просмотр")</f>
        <v>0</v>
      </c>
    </row>
    <row r="378" spans="1:12" customHeight="1" ht="11.25">
      <c r="A378" s="43">
        <v>364</v>
      </c>
      <c r="B378" s="44" t="s">
        <v>37</v>
      </c>
      <c r="C378" s="45" t="s">
        <v>37</v>
      </c>
      <c r="D378" s="43" t="s">
        <v>774</v>
      </c>
      <c r="E378" s="45" t="s">
        <v>775</v>
      </c>
      <c r="F378" s="46" t="s">
        <v>67</v>
      </c>
      <c r="G378" s="46" t="s">
        <v>37</v>
      </c>
      <c r="H378" s="46">
        <v>150</v>
      </c>
      <c r="I378" s="47">
        <v>92.40000000000001</v>
      </c>
      <c r="J378" s="48">
        <v>92.40000000000001</v>
      </c>
      <c r="K378" s="54">
        <v>570</v>
      </c>
      <c r="L378" s="25" t="str">
        <f>HYPERLINK("http://pirotehnika-optom.ru/236-kraski-kholi-optom-optom/2601-kraska-kholi-100gr.html","Просмотр")</f>
        <v>0</v>
      </c>
    </row>
    <row r="379" spans="1:12" customHeight="1" ht="11.25">
      <c r="A379" s="43">
        <v>365</v>
      </c>
      <c r="B379" s="44" t="s">
        <v>37</v>
      </c>
      <c r="C379" s="45" t="s">
        <v>37</v>
      </c>
      <c r="D379" s="43" t="s">
        <v>776</v>
      </c>
      <c r="E379" s="45" t="s">
        <v>777</v>
      </c>
      <c r="F379" s="46" t="s">
        <v>67</v>
      </c>
      <c r="G379" s="46" t="s">
        <v>37</v>
      </c>
      <c r="H379" s="46">
        <v>150</v>
      </c>
      <c r="I379" s="47">
        <v>92.40000000000001</v>
      </c>
      <c r="J379" s="48">
        <v>92.40000000000001</v>
      </c>
      <c r="K379" s="54">
        <v>155</v>
      </c>
      <c r="L379" s="25" t="str">
        <f>HYPERLINK("http://pirotehnika-optom.ru/236-kraski-kholi-optom-optom/2593-kraska-kholi-100gr.html","Просмотр")</f>
        <v>0</v>
      </c>
    </row>
    <row r="380" spans="1:12" customHeight="1" ht="11.25">
      <c r="A380" s="43">
        <v>366</v>
      </c>
      <c r="B380" s="44" t="s">
        <v>37</v>
      </c>
      <c r="C380" s="45" t="s">
        <v>37</v>
      </c>
      <c r="D380" s="43" t="s">
        <v>778</v>
      </c>
      <c r="E380" s="45" t="s">
        <v>779</v>
      </c>
      <c r="F380" s="46" t="s">
        <v>67</v>
      </c>
      <c r="G380" s="46" t="s">
        <v>37</v>
      </c>
      <c r="H380" s="46">
        <v>150</v>
      </c>
      <c r="I380" s="47">
        <v>92.40000000000001</v>
      </c>
      <c r="J380" s="48">
        <v>92.40000000000001</v>
      </c>
      <c r="K380" s="54">
        <v>18</v>
      </c>
      <c r="L380" s="25" t="str">
        <f>HYPERLINK("http://pirotehnika-optom.ru/236-kraski-kholi-optom-optom/2599-kraska-kholi-100gr.html","Просмотр")</f>
        <v>0</v>
      </c>
    </row>
    <row r="381" spans="1:12" customHeight="1" ht="11.25">
      <c r="A381" s="43">
        <v>367</v>
      </c>
      <c r="B381" s="44" t="s">
        <v>37</v>
      </c>
      <c r="C381" s="45" t="s">
        <v>37</v>
      </c>
      <c r="D381" s="43" t="s">
        <v>780</v>
      </c>
      <c r="E381" s="45" t="s">
        <v>781</v>
      </c>
      <c r="F381" s="46" t="s">
        <v>67</v>
      </c>
      <c r="G381" s="46" t="s">
        <v>37</v>
      </c>
      <c r="H381" s="46">
        <v>150</v>
      </c>
      <c r="I381" s="47">
        <v>92.40000000000001</v>
      </c>
      <c r="J381" s="48">
        <v>92.40000000000001</v>
      </c>
      <c r="K381" s="54">
        <v>40</v>
      </c>
      <c r="L381" s="25" t="str">
        <f>HYPERLINK("http://pirotehnika-optom.ru/236-kraski-kholi-optom-optom/2596-kraska-kholi-100gr.html","Просмотр")</f>
        <v>0</v>
      </c>
    </row>
    <row r="382" spans="1:12" customHeight="1" ht="11.25">
      <c r="A382" s="43">
        <v>368</v>
      </c>
      <c r="B382" s="44" t="s">
        <v>37</v>
      </c>
      <c r="C382" s="45" t="s">
        <v>37</v>
      </c>
      <c r="D382" s="43" t="s">
        <v>782</v>
      </c>
      <c r="E382" s="45" t="s">
        <v>781</v>
      </c>
      <c r="F382" s="46" t="s">
        <v>67</v>
      </c>
      <c r="G382" s="46" t="s">
        <v>37</v>
      </c>
      <c r="H382" s="46">
        <v>150</v>
      </c>
      <c r="I382" s="47">
        <v>92.40000000000001</v>
      </c>
      <c r="J382" s="48">
        <v>92.40000000000001</v>
      </c>
      <c r="K382" s="54">
        <v>55</v>
      </c>
      <c r="L382" s="25" t="str">
        <f>HYPERLINK("http://pirotehnika-optom.ru/236-kraski-kholi-optom-optom/6122-kraska-kholi-100gr-6122.html","Просмотр")</f>
        <v>0</v>
      </c>
    </row>
    <row r="383" spans="1:12" customHeight="1" ht="11.25">
      <c r="A383" s="43">
        <v>369</v>
      </c>
      <c r="B383" s="44" t="s">
        <v>37</v>
      </c>
      <c r="C383" s="45" t="s">
        <v>37</v>
      </c>
      <c r="D383" s="43" t="s">
        <v>783</v>
      </c>
      <c r="E383" s="45" t="s">
        <v>784</v>
      </c>
      <c r="F383" s="46" t="s">
        <v>67</v>
      </c>
      <c r="G383" s="46" t="s">
        <v>37</v>
      </c>
      <c r="H383" s="46">
        <v>1</v>
      </c>
      <c r="I383" s="47">
        <v>4200</v>
      </c>
      <c r="J383" s="48">
        <v>4200</v>
      </c>
      <c r="K383" s="54">
        <v>1</v>
      </c>
      <c r="L383" s="25" t="str">
        <f>HYPERLINK("http://pirotehnika-optom.ru/236-kraski-kholi-optom-optom/2626-ognetushiteli.html","Просмотр")</f>
        <v>0</v>
      </c>
    </row>
    <row r="384" spans="1:12" customHeight="1" ht="11.25">
      <c r="A384" s="43">
        <v>370</v>
      </c>
      <c r="B384" s="44" t="s">
        <v>37</v>
      </c>
      <c r="C384" s="45" t="s">
        <v>37</v>
      </c>
      <c r="D384" s="43" t="s">
        <v>785</v>
      </c>
      <c r="E384" s="45" t="s">
        <v>786</v>
      </c>
      <c r="F384" s="46" t="s">
        <v>67</v>
      </c>
      <c r="G384" s="46" t="s">
        <v>37</v>
      </c>
      <c r="H384" s="46">
        <v>1</v>
      </c>
      <c r="I384" s="47">
        <v>4200</v>
      </c>
      <c r="J384" s="48">
        <v>4200</v>
      </c>
      <c r="K384" s="54">
        <v>1</v>
      </c>
      <c r="L384" s="25" t="str">
        <f>HYPERLINK("http://pirotehnika-optom.ru/236-kraski-kholi-optom-optom/2618-ognetushiteli.html","Просмотр")</f>
        <v>0</v>
      </c>
    </row>
    <row r="385" spans="1:12" customHeight="1" ht="11.25">
      <c r="A385" s="43">
        <v>371</v>
      </c>
      <c r="B385" s="44" t="s">
        <v>37</v>
      </c>
      <c r="C385" s="45" t="s">
        <v>37</v>
      </c>
      <c r="D385" s="43" t="s">
        <v>787</v>
      </c>
      <c r="E385" s="45" t="s">
        <v>788</v>
      </c>
      <c r="F385" s="46" t="s">
        <v>67</v>
      </c>
      <c r="G385" s="46" t="s">
        <v>37</v>
      </c>
      <c r="H385" s="46">
        <v>1</v>
      </c>
      <c r="I385" s="47">
        <v>4200</v>
      </c>
      <c r="J385" s="48">
        <v>4200</v>
      </c>
      <c r="K385" s="54">
        <v>1</v>
      </c>
      <c r="L385" s="25" t="str">
        <f>HYPERLINK("http://pirotehnika-optom.ru/236-kraski-kholi-optom-optom/2622-ognetushiteli.html","Просмотр")</f>
        <v>0</v>
      </c>
    </row>
    <row r="386" spans="1:12" customHeight="1" ht="11.25">
      <c r="A386" s="43">
        <v>372</v>
      </c>
      <c r="B386" s="44" t="s">
        <v>37</v>
      </c>
      <c r="C386" s="45" t="s">
        <v>37</v>
      </c>
      <c r="D386" s="43" t="s">
        <v>789</v>
      </c>
      <c r="E386" s="45" t="s">
        <v>790</v>
      </c>
      <c r="F386" s="46" t="s">
        <v>67</v>
      </c>
      <c r="G386" s="46" t="s">
        <v>37</v>
      </c>
      <c r="H386" s="46">
        <v>1</v>
      </c>
      <c r="I386" s="47">
        <v>4200</v>
      </c>
      <c r="J386" s="48">
        <v>4200</v>
      </c>
      <c r="K386" s="54">
        <v>1</v>
      </c>
      <c r="L386" s="25" t="str">
        <f>HYPERLINK("http://pirotehnika-optom.ru/236-kraski-kholi-optom-optom/2624-ognetushiteli.html","Просмотр")</f>
        <v>0</v>
      </c>
    </row>
    <row r="387" spans="1:12" customHeight="1" ht="11.25">
      <c r="A387" s="43">
        <v>373</v>
      </c>
      <c r="B387" s="44" t="s">
        <v>37</v>
      </c>
      <c r="C387" s="45" t="s">
        <v>37</v>
      </c>
      <c r="D387" s="43" t="s">
        <v>791</v>
      </c>
      <c r="E387" s="45" t="s">
        <v>792</v>
      </c>
      <c r="F387" s="46" t="s">
        <v>67</v>
      </c>
      <c r="G387" s="46" t="s">
        <v>37</v>
      </c>
      <c r="H387" s="46">
        <v>1</v>
      </c>
      <c r="I387" s="47">
        <v>4200</v>
      </c>
      <c r="J387" s="48">
        <v>4200</v>
      </c>
      <c r="K387" s="54">
        <v>1</v>
      </c>
      <c r="L387" s="25" t="str">
        <f>HYPERLINK("http://pirotehnika-optom.ru/236-kraski-kholi-optom-optom/2625-ognetushiteli.html","Просмотр")</f>
        <v>0</v>
      </c>
    </row>
    <row r="388" spans="1:12" customHeight="1" ht="11.25">
      <c r="A388" s="43">
        <v>374</v>
      </c>
      <c r="B388" s="44" t="s">
        <v>37</v>
      </c>
      <c r="C388" s="45" t="s">
        <v>37</v>
      </c>
      <c r="D388" s="43" t="s">
        <v>793</v>
      </c>
      <c r="E388" s="45" t="s">
        <v>794</v>
      </c>
      <c r="F388" s="46" t="s">
        <v>67</v>
      </c>
      <c r="G388" s="46" t="s">
        <v>37</v>
      </c>
      <c r="H388" s="46">
        <v>1</v>
      </c>
      <c r="I388" s="47">
        <v>4200</v>
      </c>
      <c r="J388" s="48">
        <v>4200</v>
      </c>
      <c r="K388" s="54">
        <v>1</v>
      </c>
      <c r="L388" s="25" t="str">
        <f>HYPERLINK("http://pirotehnika-optom.ru/236-kraski-kholi-optom-optom/6289-ognetushitel-5kg-fioletovyj-6289.html","Просмотр")</f>
        <v>0</v>
      </c>
    </row>
    <row r="389" spans="1:12" customHeight="1" ht="11.25">
      <c r="A389" s="43">
        <v>375</v>
      </c>
      <c r="B389" s="44" t="s">
        <v>37</v>
      </c>
      <c r="C389" s="45" t="s">
        <v>37</v>
      </c>
      <c r="D389" s="43" t="s">
        <v>795</v>
      </c>
      <c r="E389" s="45" t="s">
        <v>796</v>
      </c>
      <c r="F389" s="46" t="s">
        <v>67</v>
      </c>
      <c r="G389" s="46" t="s">
        <v>37</v>
      </c>
      <c r="H389" s="46">
        <v>1</v>
      </c>
      <c r="I389" s="47">
        <v>1785</v>
      </c>
      <c r="J389" s="48">
        <v>1785</v>
      </c>
      <c r="K389" s="54">
        <v>10</v>
      </c>
      <c r="L389" s="25" t="str">
        <f>HYPERLINK("http://pirotehnika-optom.ru/236-kraski-kholi-optom-optom/6285-ognetushitel-2-l-sinij-chernoe-zpu.html","Просмотр")</f>
        <v>0</v>
      </c>
    </row>
    <row r="390" spans="1:12" customHeight="1" ht="11.25">
      <c r="A390" s="43">
        <v>376</v>
      </c>
      <c r="B390" s="44" t="s">
        <v>37</v>
      </c>
      <c r="C390" s="45" t="s">
        <v>37</v>
      </c>
      <c r="D390" s="43" t="s">
        <v>797</v>
      </c>
      <c r="E390" s="45" t="s">
        <v>798</v>
      </c>
      <c r="F390" s="46" t="s">
        <v>67</v>
      </c>
      <c r="G390" s="46" t="s">
        <v>37</v>
      </c>
      <c r="H390" s="46">
        <v>1</v>
      </c>
      <c r="I390" s="47">
        <v>1785</v>
      </c>
      <c r="J390" s="48">
        <v>1785</v>
      </c>
      <c r="K390" s="54">
        <v>10</v>
      </c>
      <c r="L390" s="25" t="str">
        <f>HYPERLINK("http://pirotehnika-optom.ru/236-kraski-kholi-optom-optom/6286-ognetushitel-2-l-malinovyj-chernoe-zpu.html","Просмотр")</f>
        <v>0</v>
      </c>
    </row>
    <row r="391" spans="1:12" customHeight="1" ht="11.25">
      <c r="A391" s="43">
        <v>377</v>
      </c>
      <c r="B391" s="44" t="s">
        <v>37</v>
      </c>
      <c r="C391" s="45" t="s">
        <v>799</v>
      </c>
      <c r="D391" s="43" t="s">
        <v>800</v>
      </c>
      <c r="E391" s="45" t="s">
        <v>801</v>
      </c>
      <c r="F391" s="46" t="s">
        <v>67</v>
      </c>
      <c r="G391" s="46" t="s">
        <v>37</v>
      </c>
      <c r="H391" s="46">
        <v>50</v>
      </c>
      <c r="I391" s="47">
        <v>88.2</v>
      </c>
      <c r="J391" s="48">
        <v>88.2</v>
      </c>
      <c r="K391" s="54">
        <v>14</v>
      </c>
      <c r="L391" s="25" t="str">
        <f>HYPERLINK("http://pirotehnika-optom.ru/236-kraski-kholi-optom-optom/3583-festivalnaya-kraska-uc-100-gr-zheltyj.html","Просмотр")</f>
        <v>0</v>
      </c>
    </row>
    <row r="392" spans="1:12" customHeight="1" ht="11.25">
      <c r="A392" s="43">
        <v>378</v>
      </c>
      <c r="B392" s="44" t="s">
        <v>37</v>
      </c>
      <c r="C392" s="45" t="s">
        <v>37</v>
      </c>
      <c r="D392" s="43" t="s">
        <v>802</v>
      </c>
      <c r="E392" s="45" t="s">
        <v>803</v>
      </c>
      <c r="F392" s="46" t="s">
        <v>67</v>
      </c>
      <c r="G392" s="46" t="s">
        <v>37</v>
      </c>
      <c r="H392" s="46">
        <v>50</v>
      </c>
      <c r="I392" s="47">
        <v>88.2</v>
      </c>
      <c r="J392" s="48">
        <v>88.2</v>
      </c>
      <c r="K392" s="54">
        <v>1</v>
      </c>
      <c r="L392" s="25" t="str">
        <f>HYPERLINK("http://pirotehnika-optom.ru/236-kraski-kholi-optom-optom/3585-festivalnaya-kraska-uc-100-gr-malinovyj.html","Просмотр")</f>
        <v>0</v>
      </c>
    </row>
    <row r="393" spans="1:12" customHeight="1" ht="11.25">
      <c r="A393" s="43">
        <v>379</v>
      </c>
      <c r="B393" s="44" t="s">
        <v>37</v>
      </c>
      <c r="C393" s="45" t="s">
        <v>37</v>
      </c>
      <c r="D393" s="43" t="s">
        <v>804</v>
      </c>
      <c r="E393" s="45" t="s">
        <v>805</v>
      </c>
      <c r="F393" s="46" t="s">
        <v>67</v>
      </c>
      <c r="G393" s="46" t="s">
        <v>37</v>
      </c>
      <c r="H393" s="46">
        <v>50</v>
      </c>
      <c r="I393" s="47">
        <v>88.2</v>
      </c>
      <c r="J393" s="48">
        <v>88.2</v>
      </c>
      <c r="K393" s="54">
        <v>102</v>
      </c>
      <c r="L393" s="25" t="str">
        <f>HYPERLINK("http://pirotehnika-optom.ru/236-kraski-kholi-optom-optom/3587-festivalnaya-kraska-uc-100-gr-sinij.html","Просмотр")</f>
        <v>0</v>
      </c>
    </row>
    <row r="394" spans="1:12" customHeight="1" ht="11.25">
      <c r="A394" s="43">
        <v>380</v>
      </c>
      <c r="B394" s="44" t="s">
        <v>37</v>
      </c>
      <c r="C394" s="45" t="s">
        <v>37</v>
      </c>
      <c r="D394" s="43" t="s">
        <v>806</v>
      </c>
      <c r="E394" s="45" t="s">
        <v>807</v>
      </c>
      <c r="F394" s="46" t="s">
        <v>67</v>
      </c>
      <c r="G394" s="46" t="s">
        <v>37</v>
      </c>
      <c r="H394" s="46">
        <v>50</v>
      </c>
      <c r="I394" s="47">
        <v>88.2</v>
      </c>
      <c r="J394" s="48">
        <v>88.2</v>
      </c>
      <c r="K394" s="54">
        <v>5</v>
      </c>
      <c r="L394" s="25" t="str">
        <f>HYPERLINK("http://pirotehnika-optom.ru/236-kraski-kholi-optom-optom/3588-festivalnaya-kraska-uc-100-gr-salatovyj.html","Просмотр")</f>
        <v>0</v>
      </c>
    </row>
    <row r="395" spans="1:12" customHeight="1" ht="11.25">
      <c r="A395" s="43">
        <v>381</v>
      </c>
      <c r="B395" s="44" t="s">
        <v>37</v>
      </c>
      <c r="C395" s="45" t="s">
        <v>37</v>
      </c>
      <c r="D395" s="43" t="s">
        <v>808</v>
      </c>
      <c r="E395" s="45" t="s">
        <v>809</v>
      </c>
      <c r="F395" s="46" t="s">
        <v>67</v>
      </c>
      <c r="G395" s="46" t="s">
        <v>37</v>
      </c>
      <c r="H395" s="46">
        <v>50</v>
      </c>
      <c r="I395" s="47">
        <v>88.2</v>
      </c>
      <c r="J395" s="48">
        <v>88.2</v>
      </c>
      <c r="K395" s="54">
        <v>29</v>
      </c>
      <c r="L395" s="25" t="str">
        <f>HYPERLINK("http://pirotehnika-optom.ru/236-kraski-kholi-optom-optom/3589-festivalnaya-kraska-uc-100-gr-morskaya-volna.html","Просмотр")</f>
        <v>0</v>
      </c>
    </row>
    <row r="396" spans="1:12" customHeight="1" ht="11.25">
      <c r="A396" s="43">
        <v>382</v>
      </c>
      <c r="B396" s="44" t="s">
        <v>810</v>
      </c>
      <c r="C396" s="45" t="s">
        <v>33</v>
      </c>
      <c r="D396" s="43" t="s">
        <v>811</v>
      </c>
      <c r="E396" s="45" t="s">
        <v>812</v>
      </c>
      <c r="F396" s="46" t="s">
        <v>36</v>
      </c>
      <c r="G396" s="46">
        <v>4</v>
      </c>
      <c r="H396" s="46">
        <v>18</v>
      </c>
      <c r="I396" s="47">
        <v>1312.5</v>
      </c>
      <c r="J396" s="48">
        <v>328.13</v>
      </c>
      <c r="K396" s="54">
        <v>18</v>
      </c>
      <c r="L396" s="25" t="str">
        <f>HYPERLINK("http://pirotehnika-optom.ru/17-cvetnye-dymy-i-fakely-optom/5317-fakel-dymovoj-s-chekoj-belyj-5317.html","Просмотр")</f>
        <v>0</v>
      </c>
    </row>
    <row r="397" spans="1:12" customHeight="1" ht="11.25">
      <c r="A397" s="43">
        <v>383</v>
      </c>
      <c r="B397" s="44" t="s">
        <v>37</v>
      </c>
      <c r="C397" s="45" t="s">
        <v>84</v>
      </c>
      <c r="D397" s="43" t="s">
        <v>813</v>
      </c>
      <c r="E397" s="45" t="s">
        <v>567</v>
      </c>
      <c r="F397" s="46" t="s">
        <v>67</v>
      </c>
      <c r="G397" s="46" t="s">
        <v>37</v>
      </c>
      <c r="H397" s="46">
        <v>36</v>
      </c>
      <c r="I397" s="47">
        <v>704.13</v>
      </c>
      <c r="J397" s="48">
        <v>704.13</v>
      </c>
      <c r="K397" s="54">
        <v>102</v>
      </c>
      <c r="L397" s="25" t="str">
        <f>HYPERLINK("http://pirotehnika-optom.ru/17-cvetnye-dymy-i-fakely-optom/5305-smoking-pot-green-5305.html","Просмотр")</f>
        <v>0</v>
      </c>
    </row>
    <row r="398" spans="1:12" customHeight="1" ht="11.25">
      <c r="A398" s="43">
        <v>384</v>
      </c>
      <c r="B398" s="44" t="s">
        <v>37</v>
      </c>
      <c r="C398" s="45" t="s">
        <v>37</v>
      </c>
      <c r="D398" s="43" t="s">
        <v>814</v>
      </c>
      <c r="E398" s="45" t="s">
        <v>611</v>
      </c>
      <c r="F398" s="46" t="s">
        <v>36</v>
      </c>
      <c r="G398" s="46">
        <v>5</v>
      </c>
      <c r="H398" s="46">
        <v>10</v>
      </c>
      <c r="I398" s="47">
        <v>2445.53</v>
      </c>
      <c r="J398" s="48">
        <v>489.11</v>
      </c>
      <c r="K398" s="54">
        <v>5</v>
      </c>
      <c r="L398" s="25" t="str">
        <f>HYPERLINK("http://pirotehnika-optom.ru/17-cvetnye-dymy-i-fakely-optom/5307-smoking-fountain-5307.html","Просмотр")</f>
        <v>0</v>
      </c>
    </row>
    <row r="399" spans="1:12" customHeight="1" ht="11.25">
      <c r="A399" s="43">
        <v>385</v>
      </c>
      <c r="B399" s="44" t="s">
        <v>815</v>
      </c>
      <c r="C399" s="45" t="s">
        <v>816</v>
      </c>
      <c r="D399" s="43" t="s">
        <v>817</v>
      </c>
      <c r="E399" s="45" t="s">
        <v>818</v>
      </c>
      <c r="F399" s="46" t="s">
        <v>67</v>
      </c>
      <c r="G399" s="46" t="s">
        <v>37</v>
      </c>
      <c r="H399" s="46">
        <v>48</v>
      </c>
      <c r="I399" s="47">
        <v>395.33</v>
      </c>
      <c r="J399" s="48">
        <v>395.33</v>
      </c>
      <c r="K399" s="54">
        <v>19</v>
      </c>
      <c r="L399" s="25" t="str">
        <f>HYPERLINK("http://pirotehnika-optom.ru/292-akcionnye-tovary-optom/6427-mishura-6-cvetov-27-m-6427.html","Просмотр")</f>
        <v>0</v>
      </c>
    </row>
    <row r="400" spans="1:12" customHeight="1" ht="11.25">
      <c r="A400" s="43">
        <v>386</v>
      </c>
      <c r="B400" s="44" t="s">
        <v>37</v>
      </c>
      <c r="C400" s="45" t="s">
        <v>37</v>
      </c>
      <c r="D400" s="43" t="s">
        <v>819</v>
      </c>
      <c r="E400" s="45" t="s">
        <v>820</v>
      </c>
      <c r="F400" s="46" t="s">
        <v>67</v>
      </c>
      <c r="G400" s="46" t="s">
        <v>37</v>
      </c>
      <c r="H400" s="46">
        <v>36</v>
      </c>
      <c r="I400" s="47">
        <v>352.8</v>
      </c>
      <c r="J400" s="48">
        <v>352.8</v>
      </c>
      <c r="K400" s="54">
        <v>32</v>
      </c>
      <c r="L400" s="25" t="str">
        <f>HYPERLINK("http://pirotehnika-optom.ru/292-akcionnye-tovary-optom/6414-mishura-s-2-mya-sharamina-koncakh-6414.html","Просмотр")</f>
        <v>0</v>
      </c>
    </row>
    <row r="401" spans="1:12" customHeight="1" ht="11.25">
      <c r="A401" s="43">
        <v>387</v>
      </c>
      <c r="B401" s="44" t="s">
        <v>37</v>
      </c>
      <c r="C401" s="45" t="s">
        <v>37</v>
      </c>
      <c r="D401" s="43" t="s">
        <v>821</v>
      </c>
      <c r="E401" s="45" t="s">
        <v>822</v>
      </c>
      <c r="F401" s="46" t="s">
        <v>67</v>
      </c>
      <c r="G401" s="46" t="s">
        <v>37</v>
      </c>
      <c r="H401" s="46">
        <v>36</v>
      </c>
      <c r="I401" s="47">
        <v>401.63</v>
      </c>
      <c r="J401" s="48">
        <v>401.63</v>
      </c>
      <c r="K401" s="54">
        <v>12</v>
      </c>
      <c r="L401" s="25" t="str">
        <f>HYPERLINK("http://pirotehnika-optom.ru/292-akcionnye-tovary-optom/6445-mishura-gologrso-zvezdami-27-m-6445.html","Просмотр")</f>
        <v>0</v>
      </c>
    </row>
    <row r="402" spans="1:12" customHeight="1" ht="11.25">
      <c r="A402" s="43">
        <v>388</v>
      </c>
      <c r="B402" s="44" t="s">
        <v>37</v>
      </c>
      <c r="C402" s="45" t="s">
        <v>37</v>
      </c>
      <c r="D402" s="43" t="s">
        <v>823</v>
      </c>
      <c r="E402" s="45" t="s">
        <v>824</v>
      </c>
      <c r="F402" s="46" t="s">
        <v>67</v>
      </c>
      <c r="G402" s="46" t="s">
        <v>37</v>
      </c>
      <c r="H402" s="46">
        <v>72</v>
      </c>
      <c r="I402" s="47">
        <v>209.48</v>
      </c>
      <c r="J402" s="48">
        <v>209.48</v>
      </c>
      <c r="K402" s="54">
        <v>54</v>
      </c>
      <c r="L402" s="25" t="str">
        <f>HYPERLINK("http://pirotehnika-optom.ru/292-akcionnye-tovary-optom/6413-mishuravitoj-shnur-s-kistyami-6413.html","Просмотр")</f>
        <v>0</v>
      </c>
    </row>
    <row r="403" spans="1:12" customHeight="1" ht="11.25">
      <c r="A403" s="43">
        <v>389</v>
      </c>
      <c r="B403" s="44" t="s">
        <v>37</v>
      </c>
      <c r="C403" s="45" t="s">
        <v>37</v>
      </c>
      <c r="D403" s="43" t="s">
        <v>825</v>
      </c>
      <c r="E403" s="45" t="s">
        <v>826</v>
      </c>
      <c r="F403" s="46" t="s">
        <v>67</v>
      </c>
      <c r="G403" s="46" t="s">
        <v>37</v>
      </c>
      <c r="H403" s="46">
        <v>72</v>
      </c>
      <c r="I403" s="47">
        <v>189</v>
      </c>
      <c r="J403" s="48">
        <v>189</v>
      </c>
      <c r="K403" s="54">
        <v>19</v>
      </c>
      <c r="L403" s="25" t="str">
        <f>HYPERLINK("http://pirotehnika-optom.ru/292-akcionnye-tovary-optom/6462-mishuravitoj-shnur-s-2-mya-sharami-na-koncakh-6462.html","Просмотр")</f>
        <v>0</v>
      </c>
    </row>
    <row r="404" spans="1:12" customHeight="1" ht="11.25">
      <c r="A404" s="43">
        <v>390</v>
      </c>
      <c r="B404" s="44" t="s">
        <v>37</v>
      </c>
      <c r="C404" s="45" t="s">
        <v>37</v>
      </c>
      <c r="D404" s="43" t="s">
        <v>827</v>
      </c>
      <c r="E404" s="45" t="s">
        <v>828</v>
      </c>
      <c r="F404" s="46" t="s">
        <v>67</v>
      </c>
      <c r="G404" s="46" t="s">
        <v>37</v>
      </c>
      <c r="H404" s="46">
        <v>24</v>
      </c>
      <c r="I404" s="47">
        <v>365.4</v>
      </c>
      <c r="J404" s="48">
        <v>365.4</v>
      </c>
      <c r="K404" s="54">
        <v>24</v>
      </c>
      <c r="L404" s="25" t="str">
        <f>HYPERLINK("http://pirotehnika-optom.ru/292-akcionnye-tovary-optom/6422-mishura-spiral-kolyuchka-2-m-6422.html","Просмотр")</f>
        <v>0</v>
      </c>
    </row>
    <row r="405" spans="1:12" customHeight="1" ht="11.25">
      <c r="A405" s="43">
        <v>391</v>
      </c>
      <c r="B405" s="44" t="s">
        <v>37</v>
      </c>
      <c r="C405" s="45" t="s">
        <v>37</v>
      </c>
      <c r="D405" s="43" t="s">
        <v>829</v>
      </c>
      <c r="E405" s="45" t="s">
        <v>830</v>
      </c>
      <c r="F405" s="46" t="s">
        <v>67</v>
      </c>
      <c r="G405" s="46" t="s">
        <v>37</v>
      </c>
      <c r="H405" s="46">
        <v>48</v>
      </c>
      <c r="I405" s="47">
        <v>327.6</v>
      </c>
      <c r="J405" s="48">
        <v>327.6</v>
      </c>
      <c r="K405" s="54">
        <v>5</v>
      </c>
      <c r="L405" s="25" t="str">
        <f>HYPERLINK("http://pirotehnika-optom.ru/292-akcionnye-tovary-optom/5927-mishura-relefnaya-27-m-5927.html","Просмотр")</f>
        <v>0</v>
      </c>
    </row>
    <row r="406" spans="1:12" customHeight="1" ht="11.25">
      <c r="A406" s="43">
        <v>392</v>
      </c>
      <c r="B406" s="44" t="s">
        <v>37</v>
      </c>
      <c r="C406" s="45" t="s">
        <v>37</v>
      </c>
      <c r="D406" s="43" t="s">
        <v>831</v>
      </c>
      <c r="E406" s="45" t="s">
        <v>832</v>
      </c>
      <c r="F406" s="46" t="s">
        <v>67</v>
      </c>
      <c r="G406" s="46" t="s">
        <v>37</v>
      </c>
      <c r="H406" s="46">
        <v>48</v>
      </c>
      <c r="I406" s="47">
        <v>395.33</v>
      </c>
      <c r="J406" s="48">
        <v>395.33</v>
      </c>
      <c r="K406" s="54">
        <v>23</v>
      </c>
      <c r="L406" s="25" t="str">
        <f>HYPERLINK("http://pirotehnika-optom.ru/292-akcionnye-tovary-optom/6420-mishura-perlamutr-belaya-27-m-6420.html","Просмотр")</f>
        <v>0</v>
      </c>
    </row>
    <row r="407" spans="1:12" customHeight="1" ht="11.25">
      <c r="A407" s="43">
        <v>393</v>
      </c>
      <c r="B407" s="44" t="s">
        <v>37</v>
      </c>
      <c r="C407" s="45" t="s">
        <v>37</v>
      </c>
      <c r="D407" s="43" t="s">
        <v>833</v>
      </c>
      <c r="E407" s="45" t="s">
        <v>834</v>
      </c>
      <c r="F407" s="46" t="s">
        <v>67</v>
      </c>
      <c r="G407" s="46" t="s">
        <v>37</v>
      </c>
      <c r="H407" s="46">
        <v>36</v>
      </c>
      <c r="I407" s="47">
        <v>477.23</v>
      </c>
      <c r="J407" s="48">
        <v>477.23</v>
      </c>
      <c r="K407" s="54">
        <v>30</v>
      </c>
      <c r="L407" s="25" t="str">
        <f>HYPERLINK("http://pirotehnika-optom.ru/292-akcionnye-tovary-optom/5928-mishura-s-listyami-i-sharami-blest-2-m-5928.html","Просмотр")</f>
        <v>0</v>
      </c>
    </row>
    <row r="408" spans="1:12" customHeight="1" ht="11.25">
      <c r="A408" s="43">
        <v>394</v>
      </c>
      <c r="B408" s="44" t="s">
        <v>37</v>
      </c>
      <c r="C408" s="45" t="s">
        <v>37</v>
      </c>
      <c r="D408" s="43" t="s">
        <v>835</v>
      </c>
      <c r="E408" s="45" t="s">
        <v>836</v>
      </c>
      <c r="F408" s="46" t="s">
        <v>67</v>
      </c>
      <c r="G408" s="46" t="s">
        <v>37</v>
      </c>
      <c r="H408" s="46">
        <v>48</v>
      </c>
      <c r="I408" s="47">
        <v>288.23</v>
      </c>
      <c r="J408" s="48">
        <v>288.23</v>
      </c>
      <c r="K408" s="54">
        <v>43</v>
      </c>
      <c r="L408" s="25" t="str">
        <f>HYPERLINK("http://pirotehnika-optom.ru/292-akcionnye-tovary-optom/6412-mishura-2-cveta-27-m-6412.html","Просмотр")</f>
        <v>0</v>
      </c>
    </row>
    <row r="409" spans="1:12" customHeight="1" ht="11.25">
      <c r="A409" s="43">
        <v>395</v>
      </c>
      <c r="B409" s="44" t="s">
        <v>37</v>
      </c>
      <c r="C409" s="45" t="s">
        <v>37</v>
      </c>
      <c r="D409" s="43" t="s">
        <v>837</v>
      </c>
      <c r="E409" s="45" t="s">
        <v>838</v>
      </c>
      <c r="F409" s="46" t="s">
        <v>67</v>
      </c>
      <c r="G409" s="46" t="s">
        <v>37</v>
      </c>
      <c r="H409" s="46">
        <v>72</v>
      </c>
      <c r="I409" s="47">
        <v>247.28</v>
      </c>
      <c r="J409" s="48">
        <v>247.28</v>
      </c>
      <c r="K409" s="54">
        <v>59</v>
      </c>
      <c r="L409" s="25" t="str">
        <f>HYPERLINK("http://pirotehnika-optom.ru/292-akcionnye-tovary-optom/6407-mishura-s-serdcami-27-m-6407.html","Просмотр")</f>
        <v>0</v>
      </c>
    </row>
    <row r="410" spans="1:12" customHeight="1" ht="11.25">
      <c r="A410" s="43">
        <v>396</v>
      </c>
      <c r="B410" s="44" t="s">
        <v>37</v>
      </c>
      <c r="C410" s="45" t="s">
        <v>37</v>
      </c>
      <c r="D410" s="43" t="s">
        <v>839</v>
      </c>
      <c r="E410" s="45" t="s">
        <v>840</v>
      </c>
      <c r="F410" s="46" t="s">
        <v>67</v>
      </c>
      <c r="G410" s="46" t="s">
        <v>37</v>
      </c>
      <c r="H410" s="46">
        <v>48</v>
      </c>
      <c r="I410" s="47">
        <v>288.23</v>
      </c>
      <c r="J410" s="48">
        <v>288.23</v>
      </c>
      <c r="K410" s="54">
        <v>42</v>
      </c>
      <c r="L410" s="25" t="str">
        <f>HYPERLINK("http://pirotehnika-optom.ru/292-akcionnye-tovary-optom/5929-mishura-sinyaya-27-m-5929.html","Просмотр")</f>
        <v>0</v>
      </c>
    </row>
    <row r="411" spans="1:12" customHeight="1" ht="11.25">
      <c r="A411" s="43">
        <v>397</v>
      </c>
      <c r="B411" s="44" t="s">
        <v>37</v>
      </c>
      <c r="C411" s="45" t="s">
        <v>37</v>
      </c>
      <c r="D411" s="43" t="s">
        <v>841</v>
      </c>
      <c r="E411" s="45" t="s">
        <v>842</v>
      </c>
      <c r="F411" s="46" t="s">
        <v>67</v>
      </c>
      <c r="G411" s="46" t="s">
        <v>37</v>
      </c>
      <c r="H411" s="46">
        <v>48</v>
      </c>
      <c r="I411" s="47">
        <v>285.08</v>
      </c>
      <c r="J411" s="48">
        <v>285.08</v>
      </c>
      <c r="K411" s="54">
        <v>36</v>
      </c>
      <c r="L411" s="25" t="str">
        <f>HYPERLINK("http://pirotehnika-optom.ru/292-akcionnye-tovary-optom/5930-mishura-so-zvezdami-2-m-5930.html","Просмотр")</f>
        <v>0</v>
      </c>
    </row>
    <row r="412" spans="1:12" customHeight="1" ht="11.25">
      <c r="A412" s="43">
        <v>398</v>
      </c>
      <c r="B412" s="44" t="s">
        <v>37</v>
      </c>
      <c r="C412" s="45" t="s">
        <v>37</v>
      </c>
      <c r="D412" s="43" t="s">
        <v>843</v>
      </c>
      <c r="E412" s="45" t="s">
        <v>844</v>
      </c>
      <c r="F412" s="46" t="s">
        <v>67</v>
      </c>
      <c r="G412" s="46" t="s">
        <v>37</v>
      </c>
      <c r="H412" s="46">
        <v>48</v>
      </c>
      <c r="I412" s="47">
        <v>401.63</v>
      </c>
      <c r="J412" s="48">
        <v>401.63</v>
      </c>
      <c r="K412" s="54">
        <v>42</v>
      </c>
      <c r="L412" s="25" t="str">
        <f>HYPERLINK("http://pirotehnika-optom.ru/292-akcionnye-tovary-optom/6403-mishura-cveta-v-ass-27-m-6403.html","Просмотр")</f>
        <v>0</v>
      </c>
    </row>
    <row r="413" spans="1:12" customHeight="1" ht="11.25">
      <c r="A413" s="43">
        <v>399</v>
      </c>
      <c r="B413" s="44" t="s">
        <v>37</v>
      </c>
      <c r="C413" s="45" t="s">
        <v>37</v>
      </c>
      <c r="D413" s="43" t="s">
        <v>845</v>
      </c>
      <c r="E413" s="45" t="s">
        <v>846</v>
      </c>
      <c r="F413" s="46" t="s">
        <v>67</v>
      </c>
      <c r="G413" s="46" t="s">
        <v>37</v>
      </c>
      <c r="H413" s="46">
        <v>48</v>
      </c>
      <c r="I413" s="47">
        <v>288.23</v>
      </c>
      <c r="J413" s="48">
        <v>288.23</v>
      </c>
      <c r="K413" s="54">
        <v>38</v>
      </c>
      <c r="L413" s="25" t="str">
        <f>HYPERLINK("http://pirotehnika-optom.ru/292-akcionnye-tovary-optom/6415-mishura-krasnaya-27-m-6415.html","Просмотр")</f>
        <v>0</v>
      </c>
    </row>
    <row r="414" spans="1:12" customHeight="1" ht="11.25">
      <c r="A414" s="43">
        <v>400</v>
      </c>
      <c r="B414" s="44" t="s">
        <v>37</v>
      </c>
      <c r="C414" s="45" t="s">
        <v>37</v>
      </c>
      <c r="D414" s="43" t="s">
        <v>847</v>
      </c>
      <c r="E414" s="45" t="s">
        <v>848</v>
      </c>
      <c r="F414" s="46" t="s">
        <v>67</v>
      </c>
      <c r="G414" s="46" t="s">
        <v>37</v>
      </c>
      <c r="H414" s="46">
        <v>12</v>
      </c>
      <c r="I414" s="47">
        <v>1307.25</v>
      </c>
      <c r="J414" s="48">
        <v>1307.25</v>
      </c>
      <c r="K414" s="54">
        <v>8</v>
      </c>
      <c r="L414" s="25" t="str">
        <f>HYPERLINK("http://pirotehnika-optom.ru/292-akcionnye-tovary-optom/5935-yolochnvenok41sm-kras-5935.html","Просмотр")</f>
        <v>0</v>
      </c>
    </row>
    <row r="415" spans="1:12" customHeight="1" ht="11.25">
      <c r="A415" s="43">
        <v>401</v>
      </c>
      <c r="B415" s="44" t="s">
        <v>37</v>
      </c>
      <c r="C415" s="45" t="s">
        <v>37</v>
      </c>
      <c r="D415" s="43" t="s">
        <v>849</v>
      </c>
      <c r="E415" s="45" t="s">
        <v>850</v>
      </c>
      <c r="F415" s="46" t="s">
        <v>67</v>
      </c>
      <c r="G415" s="46" t="s">
        <v>37</v>
      </c>
      <c r="H415" s="46">
        <v>84</v>
      </c>
      <c r="I415" s="47">
        <v>274.05</v>
      </c>
      <c r="J415" s="48">
        <v>274.05</v>
      </c>
      <c r="K415" s="54">
        <v>64</v>
      </c>
      <c r="L415" s="25" t="str">
        <f>HYPERLINK("http://pirotehnika-optom.ru/292-akcionnye-tovary-optom/6401-mishura-zolotaya-27-m-6401.html","Просмотр")</f>
        <v>0</v>
      </c>
    </row>
    <row r="416" spans="1:12" customHeight="1" ht="11.25">
      <c r="A416" s="43">
        <v>402</v>
      </c>
      <c r="B416" s="44" t="s">
        <v>37</v>
      </c>
      <c r="C416" s="45" t="s">
        <v>37</v>
      </c>
      <c r="D416" s="43" t="s">
        <v>851</v>
      </c>
      <c r="E416" s="45" t="s">
        <v>850</v>
      </c>
      <c r="F416" s="46" t="s">
        <v>67</v>
      </c>
      <c r="G416" s="46" t="s">
        <v>37</v>
      </c>
      <c r="H416" s="46">
        <v>72</v>
      </c>
      <c r="I416" s="47">
        <v>341.78</v>
      </c>
      <c r="J416" s="48">
        <v>341.78</v>
      </c>
      <c r="K416" s="54">
        <v>72</v>
      </c>
      <c r="L416" s="25" t="str">
        <f>HYPERLINK("http://pirotehnika-optom.ru/292-akcionnye-tovary-optom/6396-mishura-zolotaya-27-m-6396.html","Просмотр")</f>
        <v>0</v>
      </c>
    </row>
    <row r="417" spans="1:12" customHeight="1" ht="11.25">
      <c r="A417" s="43">
        <v>403</v>
      </c>
      <c r="B417" s="44" t="s">
        <v>37</v>
      </c>
      <c r="C417" s="45" t="s">
        <v>37</v>
      </c>
      <c r="D417" s="43" t="s">
        <v>852</v>
      </c>
      <c r="E417" s="45" t="s">
        <v>853</v>
      </c>
      <c r="F417" s="46" t="s">
        <v>36</v>
      </c>
      <c r="G417" s="46">
        <v>6</v>
      </c>
      <c r="H417" s="46">
        <v>72</v>
      </c>
      <c r="I417" s="47">
        <v>200.03</v>
      </c>
      <c r="J417" s="48">
        <v>33.34</v>
      </c>
      <c r="K417" s="54">
        <v>26</v>
      </c>
      <c r="L417" s="25" t="str">
        <f>HYPERLINK("http://pirotehnika-optom.ru/292-akcionnye-tovary-optom/5931-shariki-6sht6smblest-zolotye-5931.html","Просмотр")</f>
        <v>0</v>
      </c>
    </row>
    <row r="418" spans="1:12" customHeight="1" ht="11.25">
      <c r="A418" s="43">
        <v>404</v>
      </c>
      <c r="B418" s="44" t="s">
        <v>37</v>
      </c>
      <c r="C418" s="45" t="s">
        <v>37</v>
      </c>
      <c r="D418" s="43" t="s">
        <v>854</v>
      </c>
      <c r="E418" s="45" t="s">
        <v>855</v>
      </c>
      <c r="F418" s="46" t="s">
        <v>36</v>
      </c>
      <c r="G418" s="46">
        <v>6</v>
      </c>
      <c r="H418" s="46">
        <v>48</v>
      </c>
      <c r="I418" s="47">
        <v>403.2</v>
      </c>
      <c r="J418" s="48">
        <v>67.2</v>
      </c>
      <c r="K418" s="54">
        <v>6</v>
      </c>
      <c r="L418" s="25" t="str">
        <f>HYPERLINK("http://pirotehnika-optom.ru/292-akcionnye-tovary-optom/5933-shariki-6sht8smmatovo-sinie-5933.html","Просмотр")</f>
        <v>0</v>
      </c>
    </row>
    <row r="419" spans="1:12" customHeight="1" ht="11.25">
      <c r="A419" s="43">
        <v>405</v>
      </c>
      <c r="B419" s="44" t="s">
        <v>37</v>
      </c>
      <c r="C419" s="45" t="s">
        <v>37</v>
      </c>
      <c r="D419" s="43" t="s">
        <v>856</v>
      </c>
      <c r="E419" s="45" t="s">
        <v>857</v>
      </c>
      <c r="F419" s="46" t="s">
        <v>36</v>
      </c>
      <c r="G419" s="46">
        <v>6</v>
      </c>
      <c r="H419" s="46">
        <v>48</v>
      </c>
      <c r="I419" s="47">
        <v>403.2</v>
      </c>
      <c r="J419" s="48">
        <v>67.2</v>
      </c>
      <c r="K419" s="54">
        <v>17</v>
      </c>
      <c r="L419" s="25" t="str">
        <f>HYPERLINK("http://pirotehnika-optom.ru/292-akcionnye-tovary-optom/5934-shariki-6sht8smmatovo-zolotye-5934.html","Просмотр")</f>
        <v>0</v>
      </c>
    </row>
    <row r="420" spans="1:12" customHeight="1" ht="11.25">
      <c r="A420" s="43">
        <v>406</v>
      </c>
      <c r="B420" s="44" t="s">
        <v>858</v>
      </c>
      <c r="C420" s="45" t="s">
        <v>859</v>
      </c>
      <c r="D420" s="43" t="s">
        <v>860</v>
      </c>
      <c r="E420" s="45" t="s">
        <v>861</v>
      </c>
      <c r="F420" s="46" t="s">
        <v>67</v>
      </c>
      <c r="G420" s="46" t="s">
        <v>37</v>
      </c>
      <c r="H420" s="46">
        <v>50</v>
      </c>
      <c r="I420" s="47">
        <v>26.25</v>
      </c>
      <c r="J420" s="48">
        <v>26.25</v>
      </c>
      <c r="K420" s="54">
        <v>21</v>
      </c>
      <c r="L420" s="25" t="str">
        <f>HYPERLINK("http://pirotehnika-optom.ru/292-akcionnye-tovary-optom/6517-shampur-uglovoj-610kh10kh10-nerzh-6517.html","Просмотр")</f>
        <v>0</v>
      </c>
    </row>
    <row r="421" spans="1:12" customHeight="1" ht="11.25">
      <c r="A421" s="43">
        <v>407</v>
      </c>
      <c r="B421" s="44" t="s">
        <v>37</v>
      </c>
      <c r="C421" s="45" t="s">
        <v>862</v>
      </c>
      <c r="D421" s="43" t="s">
        <v>863</v>
      </c>
      <c r="E421" s="45" t="s">
        <v>864</v>
      </c>
      <c r="F421" s="46" t="s">
        <v>67</v>
      </c>
      <c r="G421" s="46" t="s">
        <v>37</v>
      </c>
      <c r="H421" s="46">
        <v>48</v>
      </c>
      <c r="I421" s="47">
        <v>138.6</v>
      </c>
      <c r="J421" s="48">
        <v>138.6</v>
      </c>
      <c r="K421" s="54">
        <v>40</v>
      </c>
      <c r="L421" s="25" t="str">
        <f>HYPERLINK("http://pirotehnika-optom.ru/292-akcionnye-tovary-optom/6444-stakan-skladnoj-plastikovyj-200-ml-6444.html","Просмотр")</f>
        <v>0</v>
      </c>
    </row>
    <row r="422" spans="1:12" customHeight="1" ht="11.25">
      <c r="A422" s="43">
        <v>408</v>
      </c>
      <c r="B422" s="44" t="s">
        <v>37</v>
      </c>
      <c r="C422" s="45" t="s">
        <v>37</v>
      </c>
      <c r="D422" s="43" t="s">
        <v>865</v>
      </c>
      <c r="E422" s="45" t="s">
        <v>866</v>
      </c>
      <c r="F422" s="46" t="s">
        <v>36</v>
      </c>
      <c r="G422" s="46">
        <v>5</v>
      </c>
      <c r="H422" s="46">
        <v>48</v>
      </c>
      <c r="I422" s="47">
        <v>77.7</v>
      </c>
      <c r="J422" s="48">
        <v>15.54</v>
      </c>
      <c r="K422" s="54">
        <v>8</v>
      </c>
      <c r="L422" s="25" t="str">
        <f>HYPERLINK("http://pirotehnika-optom.ru/292-akcionnye-tovary-optom/6492-rolly-dlya-rozzhiga-mangalov-barbekyu-kaminov-i-pechej-5-sht-v-up-6492.html","Просмотр")</f>
        <v>0</v>
      </c>
    </row>
    <row r="423" spans="1:12" customHeight="1" ht="11.25">
      <c r="A423" s="43">
        <v>409</v>
      </c>
      <c r="B423" s="44" t="s">
        <v>37</v>
      </c>
      <c r="C423" s="45" t="s">
        <v>37</v>
      </c>
      <c r="D423" s="43" t="s">
        <v>867</v>
      </c>
      <c r="E423" s="45" t="s">
        <v>868</v>
      </c>
      <c r="F423" s="46" t="s">
        <v>36</v>
      </c>
      <c r="G423" s="46">
        <v>32</v>
      </c>
      <c r="H423" s="46">
        <v>48</v>
      </c>
      <c r="I423" s="47">
        <v>82.95</v>
      </c>
      <c r="J423" s="48">
        <v>2.59</v>
      </c>
      <c r="K423" s="54">
        <v>12</v>
      </c>
      <c r="L423" s="25" t="str">
        <f>HYPERLINK("http://pirotehnika-optom.ru/292-akcionnye-tovary-optom/6487-brikety-dlya-rozzhiga-1-pl-kh-32-sht-6487.html","Просмотр")</f>
        <v>0</v>
      </c>
    </row>
    <row r="424" spans="1:12" customHeight="1" ht="11.25">
      <c r="A424" s="43">
        <v>410</v>
      </c>
      <c r="B424" s="44" t="s">
        <v>37</v>
      </c>
      <c r="C424" s="45" t="s">
        <v>37</v>
      </c>
      <c r="D424" s="43" t="s">
        <v>869</v>
      </c>
      <c r="E424" s="45" t="s">
        <v>870</v>
      </c>
      <c r="F424" s="46" t="s">
        <v>67</v>
      </c>
      <c r="G424" s="46" t="s">
        <v>37</v>
      </c>
      <c r="H424" s="46">
        <v>25</v>
      </c>
      <c r="I424" s="47">
        <v>94.5</v>
      </c>
      <c r="J424" s="48">
        <v>94.5</v>
      </c>
      <c r="K424" s="54">
        <v>8</v>
      </c>
      <c r="L424" s="25" t="str">
        <f>HYPERLINK("http://pirotehnika-optom.ru/292-akcionnye-tovary-optom/6499-shhepa-dlya-kopcheniya-vishnya-1l-6499.html","Просмотр")</f>
        <v>0</v>
      </c>
    </row>
    <row r="425" spans="1:12" customHeight="1" ht="11.25">
      <c r="A425" s="43">
        <v>411</v>
      </c>
      <c r="B425" s="44" t="s">
        <v>37</v>
      </c>
      <c r="C425" s="45" t="s">
        <v>37</v>
      </c>
      <c r="D425" s="43" t="s">
        <v>871</v>
      </c>
      <c r="E425" s="45" t="s">
        <v>872</v>
      </c>
      <c r="F425" s="46" t="s">
        <v>67</v>
      </c>
      <c r="G425" s="46" t="s">
        <v>37</v>
      </c>
      <c r="H425" s="46">
        <v>5</v>
      </c>
      <c r="I425" s="47">
        <v>557.55</v>
      </c>
      <c r="J425" s="48">
        <v>557.55</v>
      </c>
      <c r="K425" s="54">
        <v>2</v>
      </c>
      <c r="L425" s="25" t="str">
        <f>HYPERLINK("http://pirotehnika-optom.ru/292-akcionnye-tovary-optom/6508-mangal-500kh300kh500-mm-sbornyj-bez-shampurov-v-kartonnoj-korobke-6508.html","Просмотр")</f>
        <v>0</v>
      </c>
    </row>
    <row r="426" spans="1:12" customHeight="1" ht="11.25">
      <c r="A426" s="43">
        <v>412</v>
      </c>
      <c r="B426" s="44" t="s">
        <v>37</v>
      </c>
      <c r="C426" s="45" t="s">
        <v>37</v>
      </c>
      <c r="D426" s="43" t="s">
        <v>873</v>
      </c>
      <c r="E426" s="45" t="s">
        <v>874</v>
      </c>
      <c r="F426" s="46" t="s">
        <v>67</v>
      </c>
      <c r="G426" s="46" t="s">
        <v>37</v>
      </c>
      <c r="H426" s="46">
        <v>10</v>
      </c>
      <c r="I426" s="47">
        <v>372.75</v>
      </c>
      <c r="J426" s="48">
        <v>372.75</v>
      </c>
      <c r="K426" s="54">
        <v>9</v>
      </c>
      <c r="L426" s="25" t="str">
        <f>HYPERLINK("http://pirotehnika-optom.ru/292-akcionnye-tovary-optom/6473-mangal-karkasnyj-taganok-420kh40kh250-mm-sbornyj-6-shampurov-v-chekhle-6473.html","Просмотр")</f>
        <v>0</v>
      </c>
    </row>
    <row r="427" spans="1:12" customHeight="1" ht="11.25">
      <c r="A427" s="43">
        <v>413</v>
      </c>
      <c r="B427" s="44" t="s">
        <v>37</v>
      </c>
      <c r="C427" s="45" t="s">
        <v>37</v>
      </c>
      <c r="D427" s="43" t="s">
        <v>875</v>
      </c>
      <c r="E427" s="45" t="s">
        <v>876</v>
      </c>
      <c r="F427" s="46" t="s">
        <v>67</v>
      </c>
      <c r="G427" s="46" t="s">
        <v>37</v>
      </c>
      <c r="H427" s="46">
        <v>10</v>
      </c>
      <c r="I427" s="47">
        <v>376.95</v>
      </c>
      <c r="J427" s="48">
        <v>376.95</v>
      </c>
      <c r="K427" s="54">
        <v>3</v>
      </c>
      <c r="L427" s="25" t="str">
        <f>HYPERLINK("http://pirotehnika-optom.ru/292-akcionnye-tovary-optom/6493-mangal-350kh250kh350-mm-sbornyj-6-shampurov-nerzh-v-termoplenke-6493.html","Просмотр")</f>
        <v>0</v>
      </c>
    </row>
    <row r="428" spans="1:12" customHeight="1" ht="11.25">
      <c r="A428" s="43">
        <v>414</v>
      </c>
      <c r="B428" s="44" t="s">
        <v>37</v>
      </c>
      <c r="C428" s="45" t="s">
        <v>37</v>
      </c>
      <c r="D428" s="43" t="s">
        <v>877</v>
      </c>
      <c r="E428" s="45" t="s">
        <v>878</v>
      </c>
      <c r="F428" s="46" t="s">
        <v>67</v>
      </c>
      <c r="G428" s="46" t="s">
        <v>37</v>
      </c>
      <c r="H428" s="46">
        <v>22</v>
      </c>
      <c r="I428" s="47">
        <v>287.7</v>
      </c>
      <c r="J428" s="48">
        <v>287.7</v>
      </c>
      <c r="K428" s="54">
        <v>5</v>
      </c>
      <c r="L428" s="25" t="str">
        <f>HYPERLINK("http://pirotehnika-optom.ru/292-akcionnye-tovary-optom/6506-koptilnya-odnorazovaya-20kh15-sm-3-sht-v-nabore-v-kompl-olkhovaya-shhepa-6506.html","Просмотр")</f>
        <v>0</v>
      </c>
    </row>
    <row r="429" spans="1:12" customHeight="1" ht="11.25">
      <c r="A429" s="43">
        <v>415</v>
      </c>
      <c r="B429" s="44" t="s">
        <v>37</v>
      </c>
      <c r="C429" s="45" t="s">
        <v>37</v>
      </c>
      <c r="D429" s="43" t="s">
        <v>879</v>
      </c>
      <c r="E429" s="45" t="s">
        <v>880</v>
      </c>
      <c r="F429" s="46" t="s">
        <v>36</v>
      </c>
      <c r="G429" s="46">
        <v>6</v>
      </c>
      <c r="H429" s="46">
        <v>12</v>
      </c>
      <c r="I429" s="47">
        <v>409.5</v>
      </c>
      <c r="J429" s="48">
        <v>68.25</v>
      </c>
      <c r="K429" s="54">
        <v>12</v>
      </c>
      <c r="L429" s="25" t="str">
        <f>HYPERLINK("http://pirotehnika-optom.ru/292-akcionnye-tovary-optom/6450-nabor-ploskikh-shampurov-45-sm-6-shtuk-v-blistere-6450.html","Просмотр")</f>
        <v>0</v>
      </c>
    </row>
    <row r="430" spans="1:12" customHeight="1" ht="11.25">
      <c r="A430" s="43">
        <v>416</v>
      </c>
      <c r="B430" s="44" t="s">
        <v>37</v>
      </c>
      <c r="C430" s="45" t="s">
        <v>37</v>
      </c>
      <c r="D430" s="43" t="s">
        <v>881</v>
      </c>
      <c r="E430" s="45" t="s">
        <v>882</v>
      </c>
      <c r="F430" s="46" t="s">
        <v>36</v>
      </c>
      <c r="G430" s="46">
        <v>6</v>
      </c>
      <c r="H430" s="46">
        <v>12</v>
      </c>
      <c r="I430" s="47">
        <v>471.45</v>
      </c>
      <c r="J430" s="48">
        <v>78.58</v>
      </c>
      <c r="K430" s="54">
        <v>1</v>
      </c>
      <c r="L430" s="25" t="str">
        <f>HYPERLINK("http://pirotehnika-optom.ru/292-akcionnye-tovary-optom/6458-nabor-ploskikh-shampurov-45-sm-6-shtuk-v-chekhle-6458.html","Просмотр")</f>
        <v>0</v>
      </c>
    </row>
    <row r="431" spans="1:12" customHeight="1" ht="11.25">
      <c r="A431" s="43">
        <v>417</v>
      </c>
      <c r="B431" s="44" t="s">
        <v>37</v>
      </c>
      <c r="C431" s="45" t="s">
        <v>37</v>
      </c>
      <c r="D431" s="43" t="s">
        <v>883</v>
      </c>
      <c r="E431" s="45" t="s">
        <v>884</v>
      </c>
      <c r="F431" s="46" t="s">
        <v>36</v>
      </c>
      <c r="G431" s="46">
        <v>6</v>
      </c>
      <c r="H431" s="46">
        <v>12</v>
      </c>
      <c r="I431" s="47">
        <v>533.4</v>
      </c>
      <c r="J431" s="48">
        <v>88.90000000000001</v>
      </c>
      <c r="K431" s="54">
        <v>5</v>
      </c>
      <c r="L431" s="25" t="str">
        <f>HYPERLINK("http://pirotehnika-optom.ru/292-akcionnye-tovary-optom/6467-nabor-ploskikh-shampurov-60-sm-6-shtuk-v-blistere-6467.html","Просмотр")</f>
        <v>0</v>
      </c>
    </row>
    <row r="432" spans="1:12" customHeight="1" ht="11.25">
      <c r="A432" s="43">
        <v>418</v>
      </c>
      <c r="B432" s="44" t="s">
        <v>37</v>
      </c>
      <c r="C432" s="45" t="s">
        <v>37</v>
      </c>
      <c r="D432" s="43" t="s">
        <v>885</v>
      </c>
      <c r="E432" s="45" t="s">
        <v>886</v>
      </c>
      <c r="F432" s="46" t="s">
        <v>36</v>
      </c>
      <c r="G432" s="46">
        <v>2</v>
      </c>
      <c r="H432" s="46">
        <v>12</v>
      </c>
      <c r="I432" s="47">
        <v>351.75</v>
      </c>
      <c r="J432" s="48">
        <v>175.88</v>
      </c>
      <c r="K432" s="54">
        <v>9</v>
      </c>
      <c r="L432" s="25" t="str">
        <f>HYPERLINK("http://pirotehnika-optom.ru/292-akcionnye-tovary-optom/6459-shampury-dlya-lyulya-kebab-ovoshhej-450kh20kh2-mm-iz-nerzhaveyushhej-stali-2-sht-v-upakovke-6459.html","Просмотр")</f>
        <v>0</v>
      </c>
    </row>
    <row r="433" spans="1:12" customHeight="1" ht="11.25">
      <c r="A433" s="43">
        <v>419</v>
      </c>
      <c r="B433" s="44" t="s">
        <v>37</v>
      </c>
      <c r="C433" s="45" t="s">
        <v>37</v>
      </c>
      <c r="D433" s="43" t="s">
        <v>887</v>
      </c>
      <c r="E433" s="45" t="s">
        <v>888</v>
      </c>
      <c r="F433" s="46" t="s">
        <v>67</v>
      </c>
      <c r="G433" s="46" t="s">
        <v>37</v>
      </c>
      <c r="H433" s="46">
        <v>5</v>
      </c>
      <c r="I433" s="47">
        <v>959.7</v>
      </c>
      <c r="J433" s="48">
        <v>959.7</v>
      </c>
      <c r="K433" s="54">
        <v>3</v>
      </c>
      <c r="L433" s="25" t="str">
        <f>HYPERLINK("http://pirotehnika-optom.ru/292-akcionnye-tovary-optom/6478-mangal-kompakt-340kh360kh180-mm-skladnoj-6478.html","Просмотр")</f>
        <v>0</v>
      </c>
    </row>
    <row r="434" spans="1:12" customHeight="1" ht="11.25">
      <c r="A434" s="43">
        <v>420</v>
      </c>
      <c r="B434" s="44" t="s">
        <v>37</v>
      </c>
      <c r="C434" s="45" t="s">
        <v>37</v>
      </c>
      <c r="D434" s="43" t="s">
        <v>889</v>
      </c>
      <c r="E434" s="45" t="s">
        <v>890</v>
      </c>
      <c r="F434" s="46" t="s">
        <v>67</v>
      </c>
      <c r="G434" s="46" t="s">
        <v>37</v>
      </c>
      <c r="H434" s="46">
        <v>24</v>
      </c>
      <c r="I434" s="47">
        <v>111.3</v>
      </c>
      <c r="J434" s="48">
        <v>111.3</v>
      </c>
      <c r="K434" s="54">
        <v>18</v>
      </c>
      <c r="L434" s="25" t="str">
        <f>HYPERLINK("http://pirotehnika-optom.ru/292-akcionnye-tovary-optom/6488-letayushhaya-tarelka-o-23-sm-6488.html","Просмотр")</f>
        <v>0</v>
      </c>
    </row>
    <row r="435" spans="1:12" customHeight="1" ht="11.25">
      <c r="A435" s="43">
        <v>421</v>
      </c>
      <c r="B435" s="44" t="s">
        <v>37</v>
      </c>
      <c r="C435" s="45" t="s">
        <v>37</v>
      </c>
      <c r="D435" s="43" t="s">
        <v>891</v>
      </c>
      <c r="E435" s="45" t="s">
        <v>892</v>
      </c>
      <c r="F435" s="46" t="s">
        <v>67</v>
      </c>
      <c r="G435" s="46" t="s">
        <v>37</v>
      </c>
      <c r="H435" s="46">
        <v>48</v>
      </c>
      <c r="I435" s="47">
        <v>255.15</v>
      </c>
      <c r="J435" s="48">
        <v>255.15</v>
      </c>
      <c r="K435" s="54">
        <v>32</v>
      </c>
      <c r="L435" s="25" t="str">
        <f>HYPERLINK("http://pirotehnika-optom.ru/292-akcionnye-tovary-optom/6426-vozdushnyj-zmej-130kh62-sm-shnur-30-metrov-3-vida-v-korobke-lev-tigr-orel-6426.html","Просмотр")</f>
        <v>0</v>
      </c>
    </row>
    <row r="436" spans="1:12" customHeight="1" ht="11.25">
      <c r="A436" s="43">
        <v>422</v>
      </c>
      <c r="B436" s="44" t="s">
        <v>37</v>
      </c>
      <c r="C436" s="45" t="s">
        <v>37</v>
      </c>
      <c r="D436" s="43" t="s">
        <v>893</v>
      </c>
      <c r="E436" s="45" t="s">
        <v>894</v>
      </c>
      <c r="F436" s="46" t="s">
        <v>67</v>
      </c>
      <c r="G436" s="46" t="s">
        <v>37</v>
      </c>
      <c r="H436" s="46">
        <v>5</v>
      </c>
      <c r="I436" s="47">
        <v>683.55</v>
      </c>
      <c r="J436" s="48">
        <v>683.55</v>
      </c>
      <c r="K436" s="54">
        <v>1</v>
      </c>
      <c r="L436" s="25" t="str">
        <f>HYPERLINK("http://pirotehnika-optom.ru/292-akcionnye-tovary-optom/6497-mangal-500kh300kh850-mm-vysokij-sbornyj-v-kartonnoj-korobke-6497.html","Просмотр")</f>
        <v>0</v>
      </c>
    </row>
    <row r="437" spans="1:12" customHeight="1" ht="11.25">
      <c r="A437" s="43">
        <v>423</v>
      </c>
      <c r="B437" s="44" t="s">
        <v>37</v>
      </c>
      <c r="C437" s="45" t="s">
        <v>895</v>
      </c>
      <c r="D437" s="43" t="s">
        <v>896</v>
      </c>
      <c r="E437" s="45" t="s">
        <v>897</v>
      </c>
      <c r="F437" s="46" t="s">
        <v>67</v>
      </c>
      <c r="G437" s="46" t="s">
        <v>37</v>
      </c>
      <c r="H437" s="46">
        <v>48</v>
      </c>
      <c r="I437" s="47">
        <v>308.7</v>
      </c>
      <c r="J437" s="48">
        <v>308.7</v>
      </c>
      <c r="K437" s="54">
        <v>48</v>
      </c>
      <c r="L437" s="25" t="str">
        <f>HYPERLINK("http://pirotehnika-optom.ru/292-akcionnye-tovary-optom/6411-setka-polog-na-detskuyu-kolyasku-ili-lyulku-140kh90-sm-6411.html","Просмотр")</f>
        <v>0</v>
      </c>
    </row>
    <row r="438" spans="1:12" customHeight="1" ht="11.25">
      <c r="A438" s="43">
        <v>424</v>
      </c>
      <c r="B438" s="44" t="s">
        <v>37</v>
      </c>
      <c r="C438" s="45" t="s">
        <v>898</v>
      </c>
      <c r="D438" s="43" t="s">
        <v>899</v>
      </c>
      <c r="E438" s="45" t="s">
        <v>900</v>
      </c>
      <c r="F438" s="46" t="s">
        <v>67</v>
      </c>
      <c r="G438" s="46" t="s">
        <v>37</v>
      </c>
      <c r="H438" s="46">
        <v>12</v>
      </c>
      <c r="I438" s="47">
        <v>297.15</v>
      </c>
      <c r="J438" s="48">
        <v>297.15</v>
      </c>
      <c r="K438" s="54">
        <v>22</v>
      </c>
      <c r="L438" s="25" t="str">
        <f>HYPERLINK("http://pirotehnika-optom.ru/292-akcionnye-tovary-optom/6435-nabor-ploskikh-shampurov-45-sm-6-shtuk-v-upakovke-6435.html","Просмотр")</f>
        <v>0</v>
      </c>
    </row>
    <row r="439" spans="1:12" customHeight="1" ht="11.25">
      <c r="A439" s="43">
        <v>425</v>
      </c>
      <c r="B439" s="44" t="s">
        <v>901</v>
      </c>
      <c r="C439" s="45" t="s">
        <v>64</v>
      </c>
      <c r="D439" s="43" t="s">
        <v>902</v>
      </c>
      <c r="E439" s="45" t="s">
        <v>903</v>
      </c>
      <c r="F439" s="46" t="s">
        <v>67</v>
      </c>
      <c r="G439" s="46" t="s">
        <v>37</v>
      </c>
      <c r="H439" s="46">
        <v>48</v>
      </c>
      <c r="I439" s="47">
        <v>215.25</v>
      </c>
      <c r="J439" s="48">
        <v>215.25</v>
      </c>
      <c r="K439" s="54">
        <v>32</v>
      </c>
      <c r="L439" s="25" t="str">
        <f>HYPERLINK("http://pirotehnika-optom.ru/784-gendernaya-vecherinka-optom/6284-dymovoj-fontan-nastolnyj-malchik-ili-devochka-6284.html","Просмотр")</f>
        <v>0</v>
      </c>
    </row>
    <row r="440" spans="1:12" customHeight="1" ht="11.25">
      <c r="A440" s="43">
        <v>426</v>
      </c>
      <c r="B440" s="44" t="s">
        <v>37</v>
      </c>
      <c r="C440" s="45" t="s">
        <v>37</v>
      </c>
      <c r="D440" s="43" t="s">
        <v>904</v>
      </c>
      <c r="E440" s="45" t="s">
        <v>905</v>
      </c>
      <c r="F440" s="46" t="s">
        <v>67</v>
      </c>
      <c r="G440" s="46" t="s">
        <v>37</v>
      </c>
      <c r="H440" s="46">
        <v>48</v>
      </c>
      <c r="I440" s="47">
        <v>215.25</v>
      </c>
      <c r="J440" s="48">
        <v>215.25</v>
      </c>
      <c r="K440" s="54">
        <v>30</v>
      </c>
      <c r="L440" s="25" t="str">
        <f>HYPERLINK("http://pirotehnika-optom.ru/784-gendernaya-vecherinka-optom/5459-dymovoj-fontan-nastolnyj-malchik-ili-devochka.html","Просмотр")</f>
        <v>0</v>
      </c>
    </row>
    <row r="441" spans="1:12" customHeight="1" ht="11.25">
      <c r="A441" s="43">
        <v>427</v>
      </c>
      <c r="B441" s="44" t="s">
        <v>37</v>
      </c>
      <c r="C441" s="45" t="s">
        <v>37</v>
      </c>
      <c r="D441" s="43" t="s">
        <v>906</v>
      </c>
      <c r="E441" s="45" t="s">
        <v>907</v>
      </c>
      <c r="F441" s="46" t="s">
        <v>67</v>
      </c>
      <c r="G441" s="46" t="s">
        <v>37</v>
      </c>
      <c r="H441" s="46">
        <v>36</v>
      </c>
      <c r="I441" s="47">
        <v>462</v>
      </c>
      <c r="J441" s="48">
        <v>462</v>
      </c>
      <c r="K441" s="54">
        <v>48</v>
      </c>
      <c r="L441" s="25" t="str">
        <f>HYPERLINK("http://pirotehnika-optom.ru/6-fontany-optom/5524-malchik-ili-devochka.html","Просмотр")</f>
        <v>0</v>
      </c>
    </row>
    <row r="442" spans="1:12" customHeight="1" ht="11.25">
      <c r="A442" s="43">
        <v>428</v>
      </c>
      <c r="B442" s="44" t="s">
        <v>37</v>
      </c>
      <c r="C442" s="45" t="s">
        <v>37</v>
      </c>
      <c r="D442" s="43" t="s">
        <v>908</v>
      </c>
      <c r="E442" s="45" t="s">
        <v>907</v>
      </c>
      <c r="F442" s="46" t="s">
        <v>67</v>
      </c>
      <c r="G442" s="46" t="s">
        <v>37</v>
      </c>
      <c r="H442" s="46">
        <v>36</v>
      </c>
      <c r="I442" s="47">
        <v>462</v>
      </c>
      <c r="J442" s="48">
        <v>462</v>
      </c>
      <c r="K442" s="54">
        <v>43</v>
      </c>
      <c r="L442" s="25" t="str">
        <f>HYPERLINK("http://pirotehnika-optom.ru/6-fontany-optom/5372-malchik-ili-devochka.html","Просмотр")</f>
        <v>0</v>
      </c>
    </row>
    <row r="443" spans="1:12" customHeight="1" ht="11.25">
      <c r="A443" s="43">
        <v>429</v>
      </c>
      <c r="B443" s="44" t="s">
        <v>37</v>
      </c>
      <c r="C443" s="45" t="s">
        <v>84</v>
      </c>
      <c r="D443" s="43" t="s">
        <v>909</v>
      </c>
      <c r="E443" s="45" t="s">
        <v>910</v>
      </c>
      <c r="F443" s="46" t="s">
        <v>67</v>
      </c>
      <c r="G443" s="46" t="s">
        <v>37</v>
      </c>
      <c r="H443" s="46">
        <v>100</v>
      </c>
      <c r="I443" s="47">
        <v>249.9</v>
      </c>
      <c r="J443" s="48">
        <v>249.9</v>
      </c>
      <c r="K443" s="54">
        <v>199</v>
      </c>
      <c r="L443" s="25" t="str">
        <f>HYPERLINK("http://pirotehnika-optom.ru/12-pnevmokhlopushki-optom/6180-khlopushka-30-sm-1001-6180.html","Просмотр")</f>
        <v>0</v>
      </c>
    </row>
    <row r="444" spans="1:12" customHeight="1" ht="11.25">
      <c r="A444" s="43">
        <v>430</v>
      </c>
      <c r="B444" s="44" t="s">
        <v>37</v>
      </c>
      <c r="C444" s="45" t="s">
        <v>37</v>
      </c>
      <c r="D444" s="43" t="s">
        <v>911</v>
      </c>
      <c r="E444" s="45" t="s">
        <v>912</v>
      </c>
      <c r="F444" s="46" t="s">
        <v>67</v>
      </c>
      <c r="G444" s="46" t="s">
        <v>37</v>
      </c>
      <c r="H444" s="46">
        <v>100</v>
      </c>
      <c r="I444" s="47">
        <v>249.9</v>
      </c>
      <c r="J444" s="48">
        <v>249.9</v>
      </c>
      <c r="K444" s="54">
        <v>209</v>
      </c>
      <c r="L444" s="25" t="str">
        <f>HYPERLINK("http://pirotehnika-optom.ru/12-pnevmokhlopushki-optom/5566-khlopushka-30-sm-1001.html","Просмотр")</f>
        <v>0</v>
      </c>
    </row>
    <row r="445" spans="1:12" customHeight="1" ht="11.25">
      <c r="A445" s="43">
        <v>431</v>
      </c>
      <c r="B445" s="44" t="s">
        <v>37</v>
      </c>
      <c r="C445" s="45" t="s">
        <v>757</v>
      </c>
      <c r="D445" s="43" t="s">
        <v>913</v>
      </c>
      <c r="E445" s="45" t="s">
        <v>914</v>
      </c>
      <c r="F445" s="46" t="s">
        <v>67</v>
      </c>
      <c r="G445" s="46" t="s">
        <v>37</v>
      </c>
      <c r="H445" s="46">
        <v>1</v>
      </c>
      <c r="I445" s="47">
        <v>1785</v>
      </c>
      <c r="J445" s="48">
        <v>1785</v>
      </c>
      <c r="K445" s="54">
        <v>4</v>
      </c>
      <c r="L445" s="25" t="str">
        <f>HYPERLINK("http://pirotehnika-optom.ru/18-letnij-assortiment-optom/5273-ognetushitel-2-l-malinovyj-zoloto.html","Просмотр")</f>
        <v>0</v>
      </c>
    </row>
    <row r="446" spans="1:12" customHeight="1" ht="11.25">
      <c r="A446" s="43">
        <v>432</v>
      </c>
      <c r="B446" s="44" t="s">
        <v>37</v>
      </c>
      <c r="C446" s="45" t="s">
        <v>37</v>
      </c>
      <c r="D446" s="43" t="s">
        <v>915</v>
      </c>
      <c r="E446" s="45" t="s">
        <v>916</v>
      </c>
      <c r="F446" s="46" t="s">
        <v>67</v>
      </c>
      <c r="G446" s="46" t="s">
        <v>37</v>
      </c>
      <c r="H446" s="46">
        <v>1</v>
      </c>
      <c r="I446" s="47">
        <v>1785</v>
      </c>
      <c r="J446" s="48">
        <v>1785</v>
      </c>
      <c r="K446" s="54">
        <v>4</v>
      </c>
      <c r="L446" s="25" t="str">
        <f>HYPERLINK("http://pirotehnika-optom.ru/18-letnij-assortiment-optom/5274-ognetushitel-2-l-sinij-zoloto.html","Просмотр")</f>
        <v>0</v>
      </c>
    </row>
    <row r="447" spans="1:12" customHeight="1" ht="11.25">
      <c r="A447" s="43">
        <v>433</v>
      </c>
      <c r="B447" s="44" t="s">
        <v>37</v>
      </c>
      <c r="C447" s="45" t="s">
        <v>917</v>
      </c>
      <c r="D447" s="43" t="s">
        <v>918</v>
      </c>
      <c r="E447" s="45" t="s">
        <v>919</v>
      </c>
      <c r="F447" s="46" t="s">
        <v>36</v>
      </c>
      <c r="G447" s="46">
        <v>7</v>
      </c>
      <c r="H447" s="46">
        <v>24</v>
      </c>
      <c r="I447" s="47">
        <v>1440.6</v>
      </c>
      <c r="J447" s="48">
        <v>205.8</v>
      </c>
      <c r="K447" s="54">
        <v>5</v>
      </c>
      <c r="L447" s="25" t="str">
        <f>HYPERLINK("http://pirotehnika-optom.ru/17-cvetnye-dymy-i-fakely-optom/6532-dymy-uznaj-ktomalchik-6532.html","Просмотр")</f>
        <v>0</v>
      </c>
    </row>
    <row r="448" spans="1:12" customHeight="1" ht="11.25">
      <c r="A448" s="43">
        <v>434</v>
      </c>
      <c r="B448" s="44" t="s">
        <v>37</v>
      </c>
      <c r="C448" s="45" t="s">
        <v>37</v>
      </c>
      <c r="D448" s="43" t="s">
        <v>920</v>
      </c>
      <c r="E448" s="45" t="s">
        <v>921</v>
      </c>
      <c r="F448" s="46" t="s">
        <v>67</v>
      </c>
      <c r="G448" s="46" t="s">
        <v>37</v>
      </c>
      <c r="H448" s="46">
        <v>36</v>
      </c>
      <c r="I448" s="47">
        <v>1020.16</v>
      </c>
      <c r="J448" s="48">
        <v>1020.16</v>
      </c>
      <c r="K448" s="54">
        <v>2</v>
      </c>
      <c r="L448" s="25" t="str">
        <f>HYPERLINK("http://pirotehnika-optom.ru/17-cvetnye-dymy-i-fakely-optom/6530-dymovaya-shashka-uznaj-ktomalchik-6530.html","Просмотр")</f>
        <v>0</v>
      </c>
    </row>
    <row r="449" spans="1:12" customHeight="1" ht="11.25">
      <c r="A449" s="43">
        <v>435</v>
      </c>
      <c r="B449" s="44" t="s">
        <v>922</v>
      </c>
      <c r="C449" s="45" t="s">
        <v>923</v>
      </c>
      <c r="D449" s="43" t="s">
        <v>924</v>
      </c>
      <c r="E449" s="45" t="s">
        <v>925</v>
      </c>
      <c r="F449" s="46" t="s">
        <v>36</v>
      </c>
      <c r="G449" s="46">
        <v>10</v>
      </c>
      <c r="H449" s="46">
        <v>50</v>
      </c>
      <c r="I449" s="47">
        <v>378</v>
      </c>
      <c r="J449" s="48">
        <v>37.8</v>
      </c>
      <c r="K449" s="54">
        <v>83</v>
      </c>
      <c r="L449" s="25" t="str">
        <f>HYPERLINK("http://pirotehnika-optom.ru/292-akcionnye-tovary-optom/6374-blyudo-chetyrekhugolnoe-iz-pshenichnoj-solomy-beloe-6374.html","Просмотр")</f>
        <v>0</v>
      </c>
    </row>
    <row r="450" spans="1:12" customHeight="1" ht="11.25">
      <c r="A450" s="43">
        <v>436</v>
      </c>
      <c r="B450" s="44" t="s">
        <v>37</v>
      </c>
      <c r="C450" s="45" t="s">
        <v>37</v>
      </c>
      <c r="D450" s="43" t="s">
        <v>926</v>
      </c>
      <c r="E450" s="45" t="s">
        <v>927</v>
      </c>
      <c r="F450" s="46" t="s">
        <v>36</v>
      </c>
      <c r="G450" s="46">
        <v>10</v>
      </c>
      <c r="H450" s="46">
        <v>50</v>
      </c>
      <c r="I450" s="47">
        <v>378</v>
      </c>
      <c r="J450" s="48">
        <v>37.8</v>
      </c>
      <c r="K450" s="54">
        <v>84</v>
      </c>
      <c r="L450" s="25" t="str">
        <f>HYPERLINK("http://pirotehnika-optom.ru/292-akcionnye-tovary-optom/6376-blyudo-chetyrekhugolnoe-iz-pshenichnoj-solomy-zelyonoe-6376.html","Просмотр")</f>
        <v>0</v>
      </c>
    </row>
    <row r="451" spans="1:12" customHeight="1" ht="11.25">
      <c r="A451" s="43">
        <v>437</v>
      </c>
      <c r="B451" s="44" t="s">
        <v>37</v>
      </c>
      <c r="C451" s="45" t="s">
        <v>37</v>
      </c>
      <c r="D451" s="43" t="s">
        <v>928</v>
      </c>
      <c r="E451" s="45" t="s">
        <v>929</v>
      </c>
      <c r="F451" s="46" t="s">
        <v>36</v>
      </c>
      <c r="G451" s="46">
        <v>10</v>
      </c>
      <c r="H451" s="46">
        <v>50</v>
      </c>
      <c r="I451" s="47">
        <v>378</v>
      </c>
      <c r="J451" s="48">
        <v>37.8</v>
      </c>
      <c r="K451" s="54">
        <v>91</v>
      </c>
      <c r="L451" s="25" t="str">
        <f>HYPERLINK("http://pirotehnika-optom.ru/292-akcionnye-tovary-optom/6371-blyudo-chetyrekhugolnoe-iz-pshenichnoj-solomy-rozovoe-6371.html","Просмотр")</f>
        <v>0</v>
      </c>
    </row>
    <row r="452" spans="1:12" customHeight="1" ht="11.25">
      <c r="A452" s="43">
        <v>438</v>
      </c>
      <c r="B452" s="44" t="s">
        <v>37</v>
      </c>
      <c r="C452" s="45" t="s">
        <v>37</v>
      </c>
      <c r="D452" s="43" t="s">
        <v>930</v>
      </c>
      <c r="E452" s="45" t="s">
        <v>931</v>
      </c>
      <c r="F452" s="46" t="s">
        <v>36</v>
      </c>
      <c r="G452" s="46">
        <v>10</v>
      </c>
      <c r="H452" s="46">
        <v>50</v>
      </c>
      <c r="I452" s="47">
        <v>378</v>
      </c>
      <c r="J452" s="48">
        <v>37.8</v>
      </c>
      <c r="K452" s="54">
        <v>84</v>
      </c>
      <c r="L452" s="25" t="str">
        <f>HYPERLINK("http://pirotehnika-optom.ru/292-akcionnye-tovary-optom/6377-blyudo-chetyrekhugolnoe-iz-pshenichnoj-solomy-sinee-6377.html","Просмотр")</f>
        <v>0</v>
      </c>
    </row>
    <row r="453" spans="1:12" customHeight="1" ht="11.25">
      <c r="A453" s="43">
        <v>439</v>
      </c>
      <c r="B453" s="44" t="s">
        <v>37</v>
      </c>
      <c r="C453" s="45" t="s">
        <v>37</v>
      </c>
      <c r="D453" s="43" t="s">
        <v>932</v>
      </c>
      <c r="E453" s="45" t="s">
        <v>933</v>
      </c>
      <c r="F453" s="46" t="s">
        <v>36</v>
      </c>
      <c r="G453" s="46">
        <v>10</v>
      </c>
      <c r="H453" s="46">
        <v>100</v>
      </c>
      <c r="I453" s="47">
        <v>294</v>
      </c>
      <c r="J453" s="48">
        <v>29.4</v>
      </c>
      <c r="K453" s="54">
        <v>90</v>
      </c>
      <c r="L453" s="25" t="str">
        <f>HYPERLINK("http://pirotehnika-optom.ru/292-akcionnye-tovary-optom/6391-lozhka-kaplya-belaya-6391.html","Просмотр")</f>
        <v>0</v>
      </c>
    </row>
    <row r="454" spans="1:12" customHeight="1" ht="11.25">
      <c r="A454" s="43">
        <v>440</v>
      </c>
      <c r="B454" s="44" t="s">
        <v>37</v>
      </c>
      <c r="C454" s="45" t="s">
        <v>37</v>
      </c>
      <c r="D454" s="43" t="s">
        <v>934</v>
      </c>
      <c r="E454" s="45" t="s">
        <v>935</v>
      </c>
      <c r="F454" s="46" t="s">
        <v>36</v>
      </c>
      <c r="G454" s="46">
        <v>10</v>
      </c>
      <c r="H454" s="46">
        <v>100</v>
      </c>
      <c r="I454" s="47">
        <v>294</v>
      </c>
      <c r="J454" s="48">
        <v>29.4</v>
      </c>
      <c r="K454" s="54">
        <v>86</v>
      </c>
      <c r="L454" s="25" t="str">
        <f>HYPERLINK("http://pirotehnika-optom.ru/292-akcionnye-tovary-optom/6394-lozhka-kaplya-zelyonaya-6394.html","Просмотр")</f>
        <v>0</v>
      </c>
    </row>
    <row r="455" spans="1:12" customHeight="1" ht="11.25">
      <c r="A455" s="43">
        <v>441</v>
      </c>
      <c r="B455" s="44" t="s">
        <v>37</v>
      </c>
      <c r="C455" s="45" t="s">
        <v>37</v>
      </c>
      <c r="D455" s="43" t="s">
        <v>936</v>
      </c>
      <c r="E455" s="45" t="s">
        <v>937</v>
      </c>
      <c r="F455" s="46" t="s">
        <v>36</v>
      </c>
      <c r="G455" s="46">
        <v>10</v>
      </c>
      <c r="H455" s="46">
        <v>100</v>
      </c>
      <c r="I455" s="47">
        <v>294</v>
      </c>
      <c r="J455" s="48">
        <v>29.4</v>
      </c>
      <c r="K455" s="54">
        <v>86</v>
      </c>
      <c r="L455" s="25" t="str">
        <f>HYPERLINK("http://pirotehnika-optom.ru/292-akcionnye-tovary-optom/6393-lozhka-kaplya-rozovaya-6393.html","Просмотр")</f>
        <v>0</v>
      </c>
    </row>
    <row r="456" spans="1:12" customHeight="1" ht="11.25">
      <c r="A456" s="43">
        <v>442</v>
      </c>
      <c r="B456" s="44" t="s">
        <v>37</v>
      </c>
      <c r="C456" s="45" t="s">
        <v>37</v>
      </c>
      <c r="D456" s="43" t="s">
        <v>938</v>
      </c>
      <c r="E456" s="45" t="s">
        <v>939</v>
      </c>
      <c r="F456" s="46" t="s">
        <v>36</v>
      </c>
      <c r="G456" s="46">
        <v>10</v>
      </c>
      <c r="H456" s="46">
        <v>100</v>
      </c>
      <c r="I456" s="47">
        <v>294</v>
      </c>
      <c r="J456" s="48">
        <v>29.4</v>
      </c>
      <c r="K456" s="54">
        <v>86</v>
      </c>
      <c r="L456" s="25" t="str">
        <f>HYPERLINK("http://pirotehnika-optom.ru/292-akcionnye-tovary-optom/6395-lozhka-kaplya-sinyaya-6395.html","Просмотр")</f>
        <v>0</v>
      </c>
    </row>
    <row r="457" spans="1:12" customHeight="1" ht="11.25">
      <c r="A457" s="43">
        <v>443</v>
      </c>
      <c r="B457" s="44" t="s">
        <v>37</v>
      </c>
      <c r="C457" s="45" t="s">
        <v>37</v>
      </c>
      <c r="D457" s="43" t="s">
        <v>940</v>
      </c>
      <c r="E457" s="45" t="s">
        <v>941</v>
      </c>
      <c r="F457" s="46" t="s">
        <v>36</v>
      </c>
      <c r="G457" s="46">
        <v>10</v>
      </c>
      <c r="H457" s="46">
        <v>200</v>
      </c>
      <c r="I457" s="47">
        <v>294</v>
      </c>
      <c r="J457" s="48">
        <v>29.4</v>
      </c>
      <c r="K457" s="54">
        <v>12</v>
      </c>
      <c r="L457" s="25" t="str">
        <f>HYPERLINK("http://pirotehnika-optom.ru/292-akcionnye-tovary-optom/6455-lozhka-lopata-sovkovaya-iz-nerzhaveyusshej-stali-6455.html","Просмотр")</f>
        <v>0</v>
      </c>
    </row>
    <row r="458" spans="1:12" customHeight="1" ht="11.25">
      <c r="A458" s="43">
        <v>444</v>
      </c>
      <c r="B458" s="44" t="s">
        <v>37</v>
      </c>
      <c r="C458" s="45" t="s">
        <v>37</v>
      </c>
      <c r="D458" s="43" t="s">
        <v>942</v>
      </c>
      <c r="E458" s="45" t="s">
        <v>943</v>
      </c>
      <c r="F458" s="46" t="s">
        <v>36</v>
      </c>
      <c r="G458" s="46">
        <v>10</v>
      </c>
      <c r="H458" s="46">
        <v>50</v>
      </c>
      <c r="I458" s="47">
        <v>378</v>
      </c>
      <c r="J458" s="48">
        <v>37.8</v>
      </c>
      <c r="K458" s="54">
        <v>91</v>
      </c>
      <c r="L458" s="25" t="str">
        <f>HYPERLINK("http://pirotehnika-optom.ru/292-akcionnye-tovary-optom/6372-lozhka-supovaya-belaya-6372.html","Просмотр")</f>
        <v>0</v>
      </c>
    </row>
    <row r="459" spans="1:12" customHeight="1" ht="11.25">
      <c r="A459" s="43">
        <v>445</v>
      </c>
      <c r="B459" s="44" t="s">
        <v>37</v>
      </c>
      <c r="C459" s="45" t="s">
        <v>37</v>
      </c>
      <c r="D459" s="43" t="s">
        <v>944</v>
      </c>
      <c r="E459" s="45" t="s">
        <v>945</v>
      </c>
      <c r="F459" s="46" t="s">
        <v>36</v>
      </c>
      <c r="G459" s="46">
        <v>10</v>
      </c>
      <c r="H459" s="46">
        <v>50</v>
      </c>
      <c r="I459" s="47">
        <v>378</v>
      </c>
      <c r="J459" s="48">
        <v>37.8</v>
      </c>
      <c r="K459" s="54">
        <v>86</v>
      </c>
      <c r="L459" s="25" t="str">
        <f>HYPERLINK("http://pirotehnika-optom.ru/292-akcionnye-tovary-optom/6373-lozhka-supovaya-zelenaya-6373.html","Просмотр")</f>
        <v>0</v>
      </c>
    </row>
    <row r="460" spans="1:12" customHeight="1" ht="11.25">
      <c r="A460" s="43">
        <v>446</v>
      </c>
      <c r="B460" s="44" t="s">
        <v>37</v>
      </c>
      <c r="C460" s="45" t="s">
        <v>37</v>
      </c>
      <c r="D460" s="43" t="s">
        <v>946</v>
      </c>
      <c r="E460" s="45" t="s">
        <v>947</v>
      </c>
      <c r="F460" s="46" t="s">
        <v>36</v>
      </c>
      <c r="G460" s="46">
        <v>10</v>
      </c>
      <c r="H460" s="46">
        <v>50</v>
      </c>
      <c r="I460" s="47">
        <v>378</v>
      </c>
      <c r="J460" s="48">
        <v>37.8</v>
      </c>
      <c r="K460" s="54">
        <v>94</v>
      </c>
      <c r="L460" s="25" t="str">
        <f>HYPERLINK("http://pirotehnika-optom.ru/292-akcionnye-tovary-optom/6370-lozhka-supovaya-rozovaya-6370.html","Просмотр")</f>
        <v>0</v>
      </c>
    </row>
    <row r="461" spans="1:12" customHeight="1" ht="11.25">
      <c r="A461" s="43">
        <v>447</v>
      </c>
      <c r="B461" s="44" t="s">
        <v>37</v>
      </c>
      <c r="C461" s="45" t="s">
        <v>37</v>
      </c>
      <c r="D461" s="43" t="s">
        <v>948</v>
      </c>
      <c r="E461" s="45" t="s">
        <v>949</v>
      </c>
      <c r="F461" s="46" t="s">
        <v>36</v>
      </c>
      <c r="G461" s="46">
        <v>10</v>
      </c>
      <c r="H461" s="46">
        <v>50</v>
      </c>
      <c r="I461" s="47">
        <v>378</v>
      </c>
      <c r="J461" s="48">
        <v>37.8</v>
      </c>
      <c r="K461" s="54">
        <v>93</v>
      </c>
      <c r="L461" s="25" t="str">
        <f>HYPERLINK("http://pirotehnika-optom.ru/292-akcionnye-tovary-optom/6369-lozhka-supovaya-sinyaya-6369.html","Просмотр")</f>
        <v>0</v>
      </c>
    </row>
    <row r="462" spans="1:12" customHeight="1" ht="11.25">
      <c r="A462" s="43">
        <v>448</v>
      </c>
      <c r="B462" s="44" t="s">
        <v>37</v>
      </c>
      <c r="C462" s="45" t="s">
        <v>37</v>
      </c>
      <c r="D462" s="43" t="s">
        <v>950</v>
      </c>
      <c r="E462" s="45" t="s">
        <v>951</v>
      </c>
      <c r="F462" s="46" t="s">
        <v>36</v>
      </c>
      <c r="G462" s="46">
        <v>10</v>
      </c>
      <c r="H462" s="46">
        <v>200</v>
      </c>
      <c r="I462" s="47">
        <v>294</v>
      </c>
      <c r="J462" s="48">
        <v>29.4</v>
      </c>
      <c r="K462" s="54">
        <v>11</v>
      </c>
      <c r="L462" s="25" t="str">
        <f>HYPERLINK("http://pirotehnika-optom.ru/292-akcionnye-tovary-optom/6457-lozhka-lopata-shtykovaya-iz-nerzhaveyusshej-stali-6457.html","Просмотр")</f>
        <v>0</v>
      </c>
    </row>
    <row r="463" spans="1:12" customHeight="1" ht="11.25">
      <c r="A463" s="43">
        <v>449</v>
      </c>
      <c r="B463" s="44" t="s">
        <v>37</v>
      </c>
      <c r="C463" s="45" t="s">
        <v>37</v>
      </c>
      <c r="D463" s="43" t="s">
        <v>952</v>
      </c>
      <c r="E463" s="45" t="s">
        <v>953</v>
      </c>
      <c r="F463" s="46" t="s">
        <v>36</v>
      </c>
      <c r="G463" s="46">
        <v>10</v>
      </c>
      <c r="H463" s="46">
        <v>45</v>
      </c>
      <c r="I463" s="47">
        <v>735</v>
      </c>
      <c r="J463" s="48">
        <v>73.5</v>
      </c>
      <c r="K463" s="54">
        <v>69</v>
      </c>
      <c r="L463" s="25" t="str">
        <f>HYPERLINK("http://pirotehnika-optom.ru/292-akcionnye-tovary-optom/6348-miska-dlya-supa-iz-pshenichnoj-solomy-belaya-6348.html","Просмотр")</f>
        <v>0</v>
      </c>
    </row>
    <row r="464" spans="1:12" customHeight="1" ht="11.25">
      <c r="A464" s="43">
        <v>450</v>
      </c>
      <c r="B464" s="44" t="s">
        <v>37</v>
      </c>
      <c r="C464" s="45" t="s">
        <v>37</v>
      </c>
      <c r="D464" s="43" t="s">
        <v>954</v>
      </c>
      <c r="E464" s="45" t="s">
        <v>955</v>
      </c>
      <c r="F464" s="46" t="s">
        <v>36</v>
      </c>
      <c r="G464" s="46">
        <v>10</v>
      </c>
      <c r="H464" s="46">
        <v>45</v>
      </c>
      <c r="I464" s="47">
        <v>735</v>
      </c>
      <c r="J464" s="48">
        <v>73.5</v>
      </c>
      <c r="K464" s="54">
        <v>61</v>
      </c>
      <c r="L464" s="25" t="str">
        <f>HYPERLINK("http://pirotehnika-optom.ru/292-akcionnye-tovary-optom/6361-miska-dlya-supa-iz-pshenichnoj-solomy-zelenaya-6361.html","Просмотр")</f>
        <v>0</v>
      </c>
    </row>
    <row r="465" spans="1:12" customHeight="1" ht="11.25">
      <c r="A465" s="43">
        <v>451</v>
      </c>
      <c r="B465" s="44" t="s">
        <v>37</v>
      </c>
      <c r="C465" s="45" t="s">
        <v>37</v>
      </c>
      <c r="D465" s="43" t="s">
        <v>956</v>
      </c>
      <c r="E465" s="45" t="s">
        <v>957</v>
      </c>
      <c r="F465" s="46" t="s">
        <v>36</v>
      </c>
      <c r="G465" s="46">
        <v>10</v>
      </c>
      <c r="H465" s="46">
        <v>45</v>
      </c>
      <c r="I465" s="47">
        <v>735</v>
      </c>
      <c r="J465" s="48">
        <v>73.5</v>
      </c>
      <c r="K465" s="54">
        <v>59</v>
      </c>
      <c r="L465" s="25" t="str">
        <f>HYPERLINK("http://pirotehnika-optom.ru/292-akcionnye-tovary-optom/6363-miska-dlya-supa-iz-pshenichnoj-solomy-rozovaya-6363.html","Просмотр")</f>
        <v>0</v>
      </c>
    </row>
    <row r="466" spans="1:12" customHeight="1" ht="11.25">
      <c r="A466" s="43">
        <v>452</v>
      </c>
      <c r="B466" s="44" t="s">
        <v>37</v>
      </c>
      <c r="C466" s="45" t="s">
        <v>37</v>
      </c>
      <c r="D466" s="43" t="s">
        <v>958</v>
      </c>
      <c r="E466" s="45" t="s">
        <v>959</v>
      </c>
      <c r="F466" s="46" t="s">
        <v>36</v>
      </c>
      <c r="G466" s="46">
        <v>10</v>
      </c>
      <c r="H466" s="46">
        <v>45</v>
      </c>
      <c r="I466" s="47">
        <v>735</v>
      </c>
      <c r="J466" s="48">
        <v>73.5</v>
      </c>
      <c r="K466" s="54">
        <v>59</v>
      </c>
      <c r="L466" s="25" t="str">
        <f>HYPERLINK("http://pirotehnika-optom.ru/292-akcionnye-tovary-optom/6364-miska-dlya-supa-iz-pshenichnoj-solomy-sinyaya-6364.html","Просмотр")</f>
        <v>0</v>
      </c>
    </row>
    <row r="467" spans="1:12" customHeight="1" ht="11.25">
      <c r="A467" s="43">
        <v>453</v>
      </c>
      <c r="B467" s="44" t="s">
        <v>37</v>
      </c>
      <c r="C467" s="45" t="s">
        <v>37</v>
      </c>
      <c r="D467" s="43" t="s">
        <v>960</v>
      </c>
      <c r="E467" s="45" t="s">
        <v>953</v>
      </c>
      <c r="F467" s="46" t="s">
        <v>36</v>
      </c>
      <c r="G467" s="46">
        <v>10</v>
      </c>
      <c r="H467" s="46">
        <v>40</v>
      </c>
      <c r="I467" s="47">
        <v>882</v>
      </c>
      <c r="J467" s="48">
        <v>88.2</v>
      </c>
      <c r="K467" s="54">
        <v>46</v>
      </c>
      <c r="L467" s="25" t="str">
        <f>HYPERLINK("http://pirotehnika-optom.ru/292-akcionnye-tovary-optom/6368-miska-dlya-supa-iz-pshenichnoj-solomy-belaya-6368.html","Просмотр")</f>
        <v>0</v>
      </c>
    </row>
    <row r="468" spans="1:12" customHeight="1" ht="11.25">
      <c r="A468" s="43">
        <v>454</v>
      </c>
      <c r="B468" s="44" t="s">
        <v>37</v>
      </c>
      <c r="C468" s="45" t="s">
        <v>37</v>
      </c>
      <c r="D468" s="43" t="s">
        <v>961</v>
      </c>
      <c r="E468" s="45" t="s">
        <v>955</v>
      </c>
      <c r="F468" s="46" t="s">
        <v>36</v>
      </c>
      <c r="G468" s="46">
        <v>10</v>
      </c>
      <c r="H468" s="46">
        <v>40</v>
      </c>
      <c r="I468" s="47">
        <v>882</v>
      </c>
      <c r="J468" s="48">
        <v>88.2</v>
      </c>
      <c r="K468" s="54">
        <v>47</v>
      </c>
      <c r="L468" s="25" t="str">
        <f>HYPERLINK("http://pirotehnika-optom.ru/292-akcionnye-tovary-optom/6366-miska-dlya-supa-iz-pshenichnoj-solomy-zelenaya-6366.html","Просмотр")</f>
        <v>0</v>
      </c>
    </row>
    <row r="469" spans="1:12" customHeight="1" ht="11.25">
      <c r="A469" s="43">
        <v>455</v>
      </c>
      <c r="B469" s="44" t="s">
        <v>37</v>
      </c>
      <c r="C469" s="45" t="s">
        <v>37</v>
      </c>
      <c r="D469" s="43" t="s">
        <v>962</v>
      </c>
      <c r="E469" s="45" t="s">
        <v>957</v>
      </c>
      <c r="F469" s="46" t="s">
        <v>36</v>
      </c>
      <c r="G469" s="46">
        <v>10</v>
      </c>
      <c r="H469" s="46">
        <v>40</v>
      </c>
      <c r="I469" s="47">
        <v>882</v>
      </c>
      <c r="J469" s="48">
        <v>88.2</v>
      </c>
      <c r="K469" s="54">
        <v>47</v>
      </c>
      <c r="L469" s="25" t="str">
        <f>HYPERLINK("http://pirotehnika-optom.ru/292-akcionnye-tovary-optom/6365-miska-dlya-supa-iz-pshenichnoj-solomy-rozovaya-6365.html","Просмотр")</f>
        <v>0</v>
      </c>
    </row>
    <row r="470" spans="1:12" customHeight="1" ht="11.25">
      <c r="A470" s="43">
        <v>456</v>
      </c>
      <c r="B470" s="44" t="s">
        <v>37</v>
      </c>
      <c r="C470" s="45" t="s">
        <v>37</v>
      </c>
      <c r="D470" s="43" t="s">
        <v>963</v>
      </c>
      <c r="E470" s="45" t="s">
        <v>959</v>
      </c>
      <c r="F470" s="46" t="s">
        <v>36</v>
      </c>
      <c r="G470" s="46">
        <v>10</v>
      </c>
      <c r="H470" s="46">
        <v>40</v>
      </c>
      <c r="I470" s="47">
        <v>882</v>
      </c>
      <c r="J470" s="48">
        <v>88.2</v>
      </c>
      <c r="K470" s="54">
        <v>46</v>
      </c>
      <c r="L470" s="25" t="str">
        <f>HYPERLINK("http://pirotehnika-optom.ru/292-akcionnye-tovary-optom/6367-miska-dlya-supa-iz-pshenichnoj-solomy-sinyaya-6367.html","Просмотр")</f>
        <v>0</v>
      </c>
    </row>
    <row r="471" spans="1:12" customHeight="1" ht="11.25">
      <c r="A471" s="43">
        <v>457</v>
      </c>
      <c r="B471" s="44" t="s">
        <v>37</v>
      </c>
      <c r="C471" s="45" t="s">
        <v>37</v>
      </c>
      <c r="D471" s="43" t="s">
        <v>964</v>
      </c>
      <c r="E471" s="45" t="s">
        <v>953</v>
      </c>
      <c r="F471" s="46" t="s">
        <v>36</v>
      </c>
      <c r="G471" s="46">
        <v>10</v>
      </c>
      <c r="H471" s="46">
        <v>50</v>
      </c>
      <c r="I471" s="47">
        <v>882</v>
      </c>
      <c r="J471" s="48">
        <v>88.2</v>
      </c>
      <c r="K471" s="54">
        <v>56</v>
      </c>
      <c r="L471" s="25" t="str">
        <f>HYPERLINK("http://pirotehnika-optom.ru/292-akcionnye-tovary-optom/6358-miska-dlya-supa-iz-pshenichnoj-solomy-belaya-6358.html","Просмотр")</f>
        <v>0</v>
      </c>
    </row>
    <row r="472" spans="1:12" customHeight="1" ht="11.25">
      <c r="A472" s="43">
        <v>458</v>
      </c>
      <c r="B472" s="44" t="s">
        <v>37</v>
      </c>
      <c r="C472" s="45" t="s">
        <v>37</v>
      </c>
      <c r="D472" s="43" t="s">
        <v>965</v>
      </c>
      <c r="E472" s="45" t="s">
        <v>955</v>
      </c>
      <c r="F472" s="46" t="s">
        <v>36</v>
      </c>
      <c r="G472" s="46">
        <v>10</v>
      </c>
      <c r="H472" s="46">
        <v>50</v>
      </c>
      <c r="I472" s="47">
        <v>882</v>
      </c>
      <c r="J472" s="48">
        <v>88.2</v>
      </c>
      <c r="K472" s="54">
        <v>56</v>
      </c>
      <c r="L472" s="25" t="str">
        <f>HYPERLINK("http://pirotehnika-optom.ru/292-akcionnye-tovary-optom/6357-miska-dlya-supa-iz-pshenichnoj-solomy-zelenaya-6357.html","Просмотр")</f>
        <v>0</v>
      </c>
    </row>
    <row r="473" spans="1:12" customHeight="1" ht="11.25">
      <c r="A473" s="43">
        <v>459</v>
      </c>
      <c r="B473" s="44" t="s">
        <v>37</v>
      </c>
      <c r="C473" s="45" t="s">
        <v>37</v>
      </c>
      <c r="D473" s="43" t="s">
        <v>966</v>
      </c>
      <c r="E473" s="45" t="s">
        <v>957</v>
      </c>
      <c r="F473" s="46" t="s">
        <v>36</v>
      </c>
      <c r="G473" s="46">
        <v>10</v>
      </c>
      <c r="H473" s="46">
        <v>50</v>
      </c>
      <c r="I473" s="47">
        <v>882</v>
      </c>
      <c r="J473" s="48">
        <v>88.2</v>
      </c>
      <c r="K473" s="54">
        <v>57</v>
      </c>
      <c r="L473" s="25" t="str">
        <f>HYPERLINK("http://pirotehnika-optom.ru/292-akcionnye-tovary-optom/6355-miska-dlya-supa-iz-pshenichnoj-solomy-rozovaya-6355.html","Просмотр")</f>
        <v>0</v>
      </c>
    </row>
    <row r="474" spans="1:12" customHeight="1" ht="11.25">
      <c r="A474" s="43">
        <v>460</v>
      </c>
      <c r="B474" s="44" t="s">
        <v>37</v>
      </c>
      <c r="C474" s="45" t="s">
        <v>37</v>
      </c>
      <c r="D474" s="43" t="s">
        <v>967</v>
      </c>
      <c r="E474" s="45" t="s">
        <v>959</v>
      </c>
      <c r="F474" s="46" t="s">
        <v>36</v>
      </c>
      <c r="G474" s="46">
        <v>10</v>
      </c>
      <c r="H474" s="46">
        <v>50</v>
      </c>
      <c r="I474" s="47">
        <v>882</v>
      </c>
      <c r="J474" s="48">
        <v>88.2</v>
      </c>
      <c r="K474" s="54">
        <v>58</v>
      </c>
      <c r="L474" s="25" t="str">
        <f>HYPERLINK("http://pirotehnika-optom.ru/292-akcionnye-tovary-optom/6349-miska-dlya-supa-iz-pshenichnoj-solomy-sinyaya-6349.html","Просмотр")</f>
        <v>0</v>
      </c>
    </row>
    <row r="475" spans="1:12" customHeight="1" ht="11.25">
      <c r="A475" s="43">
        <v>461</v>
      </c>
      <c r="B475" s="44" t="s">
        <v>37</v>
      </c>
      <c r="C475" s="45" t="s">
        <v>37</v>
      </c>
      <c r="D475" s="43" t="s">
        <v>968</v>
      </c>
      <c r="E475" s="45" t="s">
        <v>969</v>
      </c>
      <c r="F475" s="46" t="s">
        <v>67</v>
      </c>
      <c r="G475" s="46" t="s">
        <v>37</v>
      </c>
      <c r="H475" s="46">
        <v>400</v>
      </c>
      <c r="I475" s="47">
        <v>266.7</v>
      </c>
      <c r="J475" s="48">
        <v>266.7</v>
      </c>
      <c r="K475" s="54">
        <v>190</v>
      </c>
      <c r="L475" s="25" t="str">
        <f>HYPERLINK("http://pirotehnika-optom.ru/292-akcionnye-tovary-optom/6332-nabor-stolovykh-priborov-v-kontejnere-zelyonyj-6332.html","Просмотр")</f>
        <v>0</v>
      </c>
    </row>
    <row r="476" spans="1:12" customHeight="1" ht="11.25">
      <c r="A476" s="43">
        <v>462</v>
      </c>
      <c r="B476" s="44" t="s">
        <v>37</v>
      </c>
      <c r="C476" s="45" t="s">
        <v>37</v>
      </c>
      <c r="D476" s="43" t="s">
        <v>970</v>
      </c>
      <c r="E476" s="45" t="s">
        <v>971</v>
      </c>
      <c r="F476" s="46" t="s">
        <v>67</v>
      </c>
      <c r="G476" s="46" t="s">
        <v>37</v>
      </c>
      <c r="H476" s="46">
        <v>400</v>
      </c>
      <c r="I476" s="47">
        <v>266.7</v>
      </c>
      <c r="J476" s="48">
        <v>266.7</v>
      </c>
      <c r="K476" s="54">
        <v>192</v>
      </c>
      <c r="L476" s="25" t="str">
        <f>HYPERLINK("http://pirotehnika-optom.ru/292-akcionnye-tovary-optom/6331-nabor-stolovykh-priborov-v-kontejnere-belyj-6331.html","Просмотр")</f>
        <v>0</v>
      </c>
    </row>
    <row r="477" spans="1:12" customHeight="1" ht="11.25">
      <c r="A477" s="43">
        <v>463</v>
      </c>
      <c r="B477" s="44" t="s">
        <v>37</v>
      </c>
      <c r="C477" s="45" t="s">
        <v>37</v>
      </c>
      <c r="D477" s="43" t="s">
        <v>972</v>
      </c>
      <c r="E477" s="45" t="s">
        <v>973</v>
      </c>
      <c r="F477" s="46" t="s">
        <v>67</v>
      </c>
      <c r="G477" s="46" t="s">
        <v>37</v>
      </c>
      <c r="H477" s="46">
        <v>400</v>
      </c>
      <c r="I477" s="47">
        <v>266.7</v>
      </c>
      <c r="J477" s="48">
        <v>266.7</v>
      </c>
      <c r="K477" s="54">
        <v>189</v>
      </c>
      <c r="L477" s="25" t="str">
        <f>HYPERLINK("http://pirotehnika-optom.ru/292-akcionnye-tovary-optom/6352-nabor-stolovykh-priborov-v-kontejnere-sinij-6352.html","Просмотр")</f>
        <v>0</v>
      </c>
    </row>
    <row r="478" spans="1:12" customHeight="1" ht="11.25">
      <c r="A478" s="43">
        <v>464</v>
      </c>
      <c r="B478" s="44" t="s">
        <v>37</v>
      </c>
      <c r="C478" s="45" t="s">
        <v>37</v>
      </c>
      <c r="D478" s="43" t="s">
        <v>974</v>
      </c>
      <c r="E478" s="45" t="s">
        <v>975</v>
      </c>
      <c r="F478" s="46" t="s">
        <v>36</v>
      </c>
      <c r="G478" s="46">
        <v>5</v>
      </c>
      <c r="H478" s="46">
        <v>80</v>
      </c>
      <c r="I478" s="47">
        <v>525</v>
      </c>
      <c r="J478" s="48">
        <v>105</v>
      </c>
      <c r="K478" s="54">
        <v>77</v>
      </c>
      <c r="L478" s="25" t="str">
        <f>HYPERLINK("http://pirotehnika-optom.ru/292-akcionnye-tovary-optom/6345-nabor-stolovykh-priborov-skladnoj-belyj-6345.html","Просмотр")</f>
        <v>0</v>
      </c>
    </row>
    <row r="479" spans="1:12" customHeight="1" ht="11.25">
      <c r="A479" s="43">
        <v>465</v>
      </c>
      <c r="B479" s="44" t="s">
        <v>37</v>
      </c>
      <c r="C479" s="45" t="s">
        <v>37</v>
      </c>
      <c r="D479" s="43" t="s">
        <v>976</v>
      </c>
      <c r="E479" s="45" t="s">
        <v>977</v>
      </c>
      <c r="F479" s="46" t="s">
        <v>36</v>
      </c>
      <c r="G479" s="46">
        <v>5</v>
      </c>
      <c r="H479" s="46">
        <v>80</v>
      </c>
      <c r="I479" s="47">
        <v>525</v>
      </c>
      <c r="J479" s="48">
        <v>105</v>
      </c>
      <c r="K479" s="54">
        <v>77</v>
      </c>
      <c r="L479" s="25" t="str">
        <f>HYPERLINK("http://pirotehnika-optom.ru/292-akcionnye-tovary-optom/6344-nabor-stolovykh-priborov-skladnoj-zelyonyj-6344.html","Просмотр")</f>
        <v>0</v>
      </c>
    </row>
    <row r="480" spans="1:12" customHeight="1" ht="11.25">
      <c r="A480" s="43">
        <v>466</v>
      </c>
      <c r="B480" s="44" t="s">
        <v>37</v>
      </c>
      <c r="C480" s="45" t="s">
        <v>37</v>
      </c>
      <c r="D480" s="43" t="s">
        <v>978</v>
      </c>
      <c r="E480" s="45" t="s">
        <v>979</v>
      </c>
      <c r="F480" s="46" t="s">
        <v>36</v>
      </c>
      <c r="G480" s="46">
        <v>5</v>
      </c>
      <c r="H480" s="46">
        <v>80</v>
      </c>
      <c r="I480" s="47">
        <v>525</v>
      </c>
      <c r="J480" s="48">
        <v>105</v>
      </c>
      <c r="K480" s="54">
        <v>76</v>
      </c>
      <c r="L480" s="25" t="str">
        <f>HYPERLINK("http://pirotehnika-optom.ru/292-akcionnye-tovary-optom/6346-nabor-skladnykh-stolovykh-priborov-rozovyj-6346.html","Просмотр")</f>
        <v>0</v>
      </c>
    </row>
    <row r="481" spans="1:12" customHeight="1" ht="11.25">
      <c r="A481" s="43">
        <v>467</v>
      </c>
      <c r="B481" s="44" t="s">
        <v>37</v>
      </c>
      <c r="C481" s="45" t="s">
        <v>37</v>
      </c>
      <c r="D481" s="43" t="s">
        <v>980</v>
      </c>
      <c r="E481" s="45" t="s">
        <v>981</v>
      </c>
      <c r="F481" s="46" t="s">
        <v>36</v>
      </c>
      <c r="G481" s="46">
        <v>5</v>
      </c>
      <c r="H481" s="46">
        <v>80</v>
      </c>
      <c r="I481" s="47">
        <v>525</v>
      </c>
      <c r="J481" s="48">
        <v>105</v>
      </c>
      <c r="K481" s="54">
        <v>76</v>
      </c>
      <c r="L481" s="25" t="str">
        <f>HYPERLINK("http://pirotehnika-optom.ru/292-akcionnye-tovary-optom/6347-nabor-stolovykh-priborov-skladnoj-sinij-6347.html","Просмотр")</f>
        <v>0</v>
      </c>
    </row>
    <row r="482" spans="1:12" customHeight="1" ht="11.25">
      <c r="A482" s="43">
        <v>468</v>
      </c>
      <c r="B482" s="44" t="s">
        <v>37</v>
      </c>
      <c r="C482" s="45" t="s">
        <v>37</v>
      </c>
      <c r="D482" s="43" t="s">
        <v>982</v>
      </c>
      <c r="E482" s="45" t="s">
        <v>983</v>
      </c>
      <c r="F482" s="46" t="s">
        <v>36</v>
      </c>
      <c r="G482" s="46">
        <v>10</v>
      </c>
      <c r="H482" s="46">
        <v>45</v>
      </c>
      <c r="I482" s="47">
        <v>378</v>
      </c>
      <c r="J482" s="48">
        <v>37.8</v>
      </c>
      <c r="K482" s="54">
        <v>82</v>
      </c>
      <c r="L482" s="25" t="str">
        <f>HYPERLINK("http://pirotehnika-optom.ru/292-akcionnye-tovary-optom/6384-sousnica-dvojnaya-belaya-6384.html","Просмотр")</f>
        <v>0</v>
      </c>
    </row>
    <row r="483" spans="1:12" customHeight="1" ht="11.25">
      <c r="A483" s="43">
        <v>469</v>
      </c>
      <c r="B483" s="44" t="s">
        <v>37</v>
      </c>
      <c r="C483" s="45" t="s">
        <v>37</v>
      </c>
      <c r="D483" s="43" t="s">
        <v>984</v>
      </c>
      <c r="E483" s="45" t="s">
        <v>985</v>
      </c>
      <c r="F483" s="46" t="s">
        <v>36</v>
      </c>
      <c r="G483" s="46">
        <v>10</v>
      </c>
      <c r="H483" s="46">
        <v>45</v>
      </c>
      <c r="I483" s="47">
        <v>378</v>
      </c>
      <c r="J483" s="48">
        <v>37.8</v>
      </c>
      <c r="K483" s="54">
        <v>82</v>
      </c>
      <c r="L483" s="25" t="str">
        <f>HYPERLINK("http://pirotehnika-optom.ru/292-akcionnye-tovary-optom/6383-sousnica-dvojnaya-zelyonaya-6383.html","Просмотр")</f>
        <v>0</v>
      </c>
    </row>
    <row r="484" spans="1:12" customHeight="1" ht="11.25">
      <c r="A484" s="43">
        <v>470</v>
      </c>
      <c r="B484" s="44" t="s">
        <v>37</v>
      </c>
      <c r="C484" s="45" t="s">
        <v>37</v>
      </c>
      <c r="D484" s="43" t="s">
        <v>986</v>
      </c>
      <c r="E484" s="45" t="s">
        <v>987</v>
      </c>
      <c r="F484" s="46" t="s">
        <v>36</v>
      </c>
      <c r="G484" s="46">
        <v>10</v>
      </c>
      <c r="H484" s="46">
        <v>45</v>
      </c>
      <c r="I484" s="47">
        <v>378</v>
      </c>
      <c r="J484" s="48">
        <v>37.8</v>
      </c>
      <c r="K484" s="54">
        <v>82</v>
      </c>
      <c r="L484" s="25" t="str">
        <f>HYPERLINK("http://pirotehnika-optom.ru/292-akcionnye-tovary-optom/6382-sousnica-dvojnaya-rozovaya-6382.html","Просмотр")</f>
        <v>0</v>
      </c>
    </row>
    <row r="485" spans="1:12" customHeight="1" ht="11.25">
      <c r="A485" s="43">
        <v>471</v>
      </c>
      <c r="B485" s="44" t="s">
        <v>37</v>
      </c>
      <c r="C485" s="45" t="s">
        <v>37</v>
      </c>
      <c r="D485" s="43" t="s">
        <v>988</v>
      </c>
      <c r="E485" s="45" t="s">
        <v>989</v>
      </c>
      <c r="F485" s="46" t="s">
        <v>36</v>
      </c>
      <c r="G485" s="46">
        <v>10</v>
      </c>
      <c r="H485" s="46">
        <v>45</v>
      </c>
      <c r="I485" s="47">
        <v>378</v>
      </c>
      <c r="J485" s="48">
        <v>37.8</v>
      </c>
      <c r="K485" s="54">
        <v>82</v>
      </c>
      <c r="L485" s="25" t="str">
        <f>HYPERLINK("http://pirotehnika-optom.ru/292-akcionnye-tovary-optom/6385-sousnica-dvojnaya-sinyaya-6385.html","Просмотр")</f>
        <v>0</v>
      </c>
    </row>
    <row r="486" spans="1:12" customHeight="1" ht="11.25">
      <c r="A486" s="43">
        <v>472</v>
      </c>
      <c r="B486" s="44" t="s">
        <v>37</v>
      </c>
      <c r="C486" s="45" t="s">
        <v>37</v>
      </c>
      <c r="D486" s="43" t="s">
        <v>990</v>
      </c>
      <c r="E486" s="45" t="s">
        <v>991</v>
      </c>
      <c r="F486" s="46" t="s">
        <v>36</v>
      </c>
      <c r="G486" s="46">
        <v>10</v>
      </c>
      <c r="H486" s="46">
        <v>100</v>
      </c>
      <c r="I486" s="47">
        <v>315</v>
      </c>
      <c r="J486" s="48">
        <v>31.5</v>
      </c>
      <c r="K486" s="54">
        <v>93</v>
      </c>
      <c r="L486" s="25" t="str">
        <f>HYPERLINK("http://pirotehnika-optom.ru/292-akcionnye-tovary-optom/6354-sousnica-kruglaya-belaya-6354.html","Просмотр")</f>
        <v>0</v>
      </c>
    </row>
    <row r="487" spans="1:12" customHeight="1" ht="11.25">
      <c r="A487" s="43">
        <v>473</v>
      </c>
      <c r="B487" s="44" t="s">
        <v>37</v>
      </c>
      <c r="C487" s="45" t="s">
        <v>37</v>
      </c>
      <c r="D487" s="43" t="s">
        <v>992</v>
      </c>
      <c r="E487" s="45" t="s">
        <v>993</v>
      </c>
      <c r="F487" s="46" t="s">
        <v>36</v>
      </c>
      <c r="G487" s="46">
        <v>10</v>
      </c>
      <c r="H487" s="46">
        <v>100</v>
      </c>
      <c r="I487" s="47">
        <v>315</v>
      </c>
      <c r="J487" s="48">
        <v>31.5</v>
      </c>
      <c r="K487" s="54">
        <v>95</v>
      </c>
      <c r="L487" s="25" t="str">
        <f>HYPERLINK("http://pirotehnika-optom.ru/292-akcionnye-tovary-optom/6351-sousnica-kruglaya-zelyonaya-6351.html","Просмотр")</f>
        <v>0</v>
      </c>
    </row>
    <row r="488" spans="1:12" customHeight="1" ht="11.25">
      <c r="A488" s="43">
        <v>474</v>
      </c>
      <c r="B488" s="44" t="s">
        <v>37</v>
      </c>
      <c r="C488" s="45" t="s">
        <v>37</v>
      </c>
      <c r="D488" s="43" t="s">
        <v>994</v>
      </c>
      <c r="E488" s="45" t="s">
        <v>995</v>
      </c>
      <c r="F488" s="46" t="s">
        <v>36</v>
      </c>
      <c r="G488" s="46">
        <v>10</v>
      </c>
      <c r="H488" s="46">
        <v>100</v>
      </c>
      <c r="I488" s="47">
        <v>315</v>
      </c>
      <c r="J488" s="48">
        <v>31.5</v>
      </c>
      <c r="K488" s="54">
        <v>94</v>
      </c>
      <c r="L488" s="25" t="str">
        <f>HYPERLINK("http://pirotehnika-optom.ru/292-akcionnye-tovary-optom/6353-sousnica-kruglaya-rozovaya-6353.html","Просмотр")</f>
        <v>0</v>
      </c>
    </row>
    <row r="489" spans="1:12" customHeight="1" ht="11.25">
      <c r="A489" s="43">
        <v>475</v>
      </c>
      <c r="B489" s="44" t="s">
        <v>37</v>
      </c>
      <c r="C489" s="45" t="s">
        <v>37</v>
      </c>
      <c r="D489" s="43" t="s">
        <v>996</v>
      </c>
      <c r="E489" s="45" t="s">
        <v>997</v>
      </c>
      <c r="F489" s="46" t="s">
        <v>36</v>
      </c>
      <c r="G489" s="46">
        <v>10</v>
      </c>
      <c r="H489" s="46">
        <v>100</v>
      </c>
      <c r="I489" s="47">
        <v>315</v>
      </c>
      <c r="J489" s="48">
        <v>31.5</v>
      </c>
      <c r="K489" s="54">
        <v>95</v>
      </c>
      <c r="L489" s="25" t="str">
        <f>HYPERLINK("http://pirotehnika-optom.ru/292-akcionnye-tovary-optom/6350-sousnica-kruglaya-sinyaya-6350.html","Просмотр")</f>
        <v>0</v>
      </c>
    </row>
    <row r="490" spans="1:12" customHeight="1" ht="11.25">
      <c r="A490" s="43">
        <v>476</v>
      </c>
      <c r="B490" s="44" t="s">
        <v>37</v>
      </c>
      <c r="C490" s="45" t="s">
        <v>37</v>
      </c>
      <c r="D490" s="43" t="s">
        <v>998</v>
      </c>
      <c r="E490" s="45" t="s">
        <v>999</v>
      </c>
      <c r="F490" s="46" t="s">
        <v>36</v>
      </c>
      <c r="G490" s="46">
        <v>10</v>
      </c>
      <c r="H490" s="46">
        <v>100</v>
      </c>
      <c r="I490" s="47">
        <v>315</v>
      </c>
      <c r="J490" s="48">
        <v>31.5</v>
      </c>
      <c r="K490" s="54">
        <v>88</v>
      </c>
      <c r="L490" s="25" t="str">
        <f>HYPERLINK("http://pirotehnika-optom.ru/292-akcionnye-tovary-optom/6360-sousnica-v-vide-serdca-belaya-6360.html","Просмотр")</f>
        <v>0</v>
      </c>
    </row>
    <row r="491" spans="1:12" customHeight="1" ht="11.25">
      <c r="A491" s="43">
        <v>477</v>
      </c>
      <c r="B491" s="44" t="s">
        <v>37</v>
      </c>
      <c r="C491" s="45" t="s">
        <v>37</v>
      </c>
      <c r="D491" s="43" t="s">
        <v>1000</v>
      </c>
      <c r="E491" s="45" t="s">
        <v>1001</v>
      </c>
      <c r="F491" s="46" t="s">
        <v>36</v>
      </c>
      <c r="G491" s="46">
        <v>10</v>
      </c>
      <c r="H491" s="46">
        <v>100</v>
      </c>
      <c r="I491" s="47">
        <v>315</v>
      </c>
      <c r="J491" s="48">
        <v>31.5</v>
      </c>
      <c r="K491" s="54">
        <v>93</v>
      </c>
      <c r="L491" s="25" t="str">
        <f>HYPERLINK("http://pirotehnika-optom.ru/292-akcionnye-tovary-optom/6356-sousnica-v-vide-serdca-zelyonaya-6356.html","Просмотр")</f>
        <v>0</v>
      </c>
    </row>
    <row r="492" spans="1:12" customHeight="1" ht="11.25">
      <c r="A492" s="43">
        <v>478</v>
      </c>
      <c r="B492" s="44" t="s">
        <v>37</v>
      </c>
      <c r="C492" s="45" t="s">
        <v>37</v>
      </c>
      <c r="D492" s="43" t="s">
        <v>1002</v>
      </c>
      <c r="E492" s="45" t="s">
        <v>1003</v>
      </c>
      <c r="F492" s="46" t="s">
        <v>36</v>
      </c>
      <c r="G492" s="46">
        <v>10</v>
      </c>
      <c r="H492" s="46">
        <v>100</v>
      </c>
      <c r="I492" s="47">
        <v>315</v>
      </c>
      <c r="J492" s="48">
        <v>31.5</v>
      </c>
      <c r="K492" s="54">
        <v>90</v>
      </c>
      <c r="L492" s="25" t="str">
        <f>HYPERLINK("http://pirotehnika-optom.ru/292-akcionnye-tovary-optom/6359-sousnica-v-vide-serdca-rozovaya-6359.html","Просмотр")</f>
        <v>0</v>
      </c>
    </row>
    <row r="493" spans="1:12" customHeight="1" ht="11.25">
      <c r="A493" s="43">
        <v>479</v>
      </c>
      <c r="B493" s="44" t="s">
        <v>37</v>
      </c>
      <c r="C493" s="45" t="s">
        <v>37</v>
      </c>
      <c r="D493" s="43" t="s">
        <v>1004</v>
      </c>
      <c r="E493" s="45" t="s">
        <v>1005</v>
      </c>
      <c r="F493" s="46" t="s">
        <v>36</v>
      </c>
      <c r="G493" s="46">
        <v>10</v>
      </c>
      <c r="H493" s="46">
        <v>100</v>
      </c>
      <c r="I493" s="47">
        <v>315</v>
      </c>
      <c r="J493" s="48">
        <v>31.5</v>
      </c>
      <c r="K493" s="54">
        <v>89</v>
      </c>
      <c r="L493" s="25" t="str">
        <f>HYPERLINK("http://pirotehnika-optom.ru/292-akcionnye-tovary-optom/6390-sousnica-v-vide-serdca-sinyaya-6390.html","Просмотр")</f>
        <v>0</v>
      </c>
    </row>
    <row r="494" spans="1:12" customHeight="1" ht="11.25">
      <c r="A494" s="43">
        <v>480</v>
      </c>
      <c r="B494" s="44" t="s">
        <v>37</v>
      </c>
      <c r="C494" s="45" t="s">
        <v>37</v>
      </c>
      <c r="D494" s="43" t="s">
        <v>1006</v>
      </c>
      <c r="E494" s="45" t="s">
        <v>1007</v>
      </c>
      <c r="F494" s="46" t="s">
        <v>36</v>
      </c>
      <c r="G494" s="46">
        <v>10</v>
      </c>
      <c r="H494" s="46">
        <v>100</v>
      </c>
      <c r="I494" s="47">
        <v>315</v>
      </c>
      <c r="J494" s="48">
        <v>31.5</v>
      </c>
      <c r="K494" s="54">
        <v>97</v>
      </c>
      <c r="L494" s="25" t="str">
        <f>HYPERLINK("http://pirotehnika-optom.ru/292-akcionnye-tovary-optom/6386-sousnica-v-yaponskom-stile-belaya-6386.html","Просмотр")</f>
        <v>0</v>
      </c>
    </row>
    <row r="495" spans="1:12" customHeight="1" ht="11.25">
      <c r="A495" s="43">
        <v>481</v>
      </c>
      <c r="B495" s="44" t="s">
        <v>37</v>
      </c>
      <c r="C495" s="45" t="s">
        <v>37</v>
      </c>
      <c r="D495" s="43" t="s">
        <v>1008</v>
      </c>
      <c r="E495" s="45" t="s">
        <v>1009</v>
      </c>
      <c r="F495" s="46" t="s">
        <v>36</v>
      </c>
      <c r="G495" s="46">
        <v>10</v>
      </c>
      <c r="H495" s="46">
        <v>100</v>
      </c>
      <c r="I495" s="47">
        <v>315</v>
      </c>
      <c r="J495" s="48">
        <v>31.5</v>
      </c>
      <c r="K495" s="54">
        <v>96</v>
      </c>
      <c r="L495" s="25" t="str">
        <f>HYPERLINK("http://pirotehnika-optom.ru/292-akcionnye-tovary-optom/6388-sousnica-v-yaponskom-stile-zelyonaya-6388.html","Просмотр")</f>
        <v>0</v>
      </c>
    </row>
    <row r="496" spans="1:12" customHeight="1" ht="11.25">
      <c r="A496" s="43">
        <v>482</v>
      </c>
      <c r="B496" s="44" t="s">
        <v>37</v>
      </c>
      <c r="C496" s="45" t="s">
        <v>37</v>
      </c>
      <c r="D496" s="43" t="s">
        <v>1010</v>
      </c>
      <c r="E496" s="45" t="s">
        <v>1011</v>
      </c>
      <c r="F496" s="46" t="s">
        <v>36</v>
      </c>
      <c r="G496" s="46">
        <v>10</v>
      </c>
      <c r="H496" s="46">
        <v>100</v>
      </c>
      <c r="I496" s="47">
        <v>315</v>
      </c>
      <c r="J496" s="48">
        <v>31.5</v>
      </c>
      <c r="K496" s="54">
        <v>95</v>
      </c>
      <c r="L496" s="25" t="str">
        <f>HYPERLINK("http://pirotehnika-optom.ru/292-akcionnye-tovary-optom/6389-sousnica-v-yaponskom-stile-rozovaya-6389.html","Просмотр")</f>
        <v>0</v>
      </c>
    </row>
    <row r="497" spans="1:12" customHeight="1" ht="11.25">
      <c r="A497" s="43">
        <v>483</v>
      </c>
      <c r="B497" s="44" t="s">
        <v>37</v>
      </c>
      <c r="C497" s="45" t="s">
        <v>37</v>
      </c>
      <c r="D497" s="43" t="s">
        <v>1012</v>
      </c>
      <c r="E497" s="45" t="s">
        <v>1013</v>
      </c>
      <c r="F497" s="46" t="s">
        <v>36</v>
      </c>
      <c r="G497" s="46">
        <v>10</v>
      </c>
      <c r="H497" s="46">
        <v>100</v>
      </c>
      <c r="I497" s="47">
        <v>315</v>
      </c>
      <c r="J497" s="48">
        <v>31.5</v>
      </c>
      <c r="K497" s="54">
        <v>96</v>
      </c>
      <c r="L497" s="25" t="str">
        <f>HYPERLINK("http://pirotehnika-optom.ru/292-akcionnye-tovary-optom/6387-sousnica-v-yaponskom-stile-sinyaya-6387.html","Просмотр")</f>
        <v>0</v>
      </c>
    </row>
    <row r="498" spans="1:12" customHeight="1" ht="11.25">
      <c r="A498" s="43">
        <v>484</v>
      </c>
      <c r="B498" s="44" t="s">
        <v>37</v>
      </c>
      <c r="C498" s="45" t="s">
        <v>37</v>
      </c>
      <c r="D498" s="43" t="s">
        <v>1014</v>
      </c>
      <c r="E498" s="45" t="s">
        <v>1015</v>
      </c>
      <c r="F498" s="46" t="s">
        <v>36</v>
      </c>
      <c r="G498" s="46">
        <v>5</v>
      </c>
      <c r="H498" s="46">
        <v>40</v>
      </c>
      <c r="I498" s="47">
        <v>630</v>
      </c>
      <c r="J498" s="48">
        <v>126</v>
      </c>
      <c r="K498" s="54">
        <v>68</v>
      </c>
      <c r="L498" s="25" t="str">
        <f>HYPERLINK("http://pirotehnika-optom.ru/292-akcionnye-tovary-optom/6362-tarelka-prostaya-yaponskaya-belaya-6362.html","Просмотр")</f>
        <v>0</v>
      </c>
    </row>
    <row r="499" spans="1:12" customHeight="1" ht="11.25">
      <c r="A499" s="43">
        <v>485</v>
      </c>
      <c r="B499" s="44" t="s">
        <v>37</v>
      </c>
      <c r="C499" s="45" t="s">
        <v>37</v>
      </c>
      <c r="D499" s="43" t="s">
        <v>1016</v>
      </c>
      <c r="E499" s="45" t="s">
        <v>1017</v>
      </c>
      <c r="F499" s="46" t="s">
        <v>36</v>
      </c>
      <c r="G499" s="46">
        <v>5</v>
      </c>
      <c r="H499" s="46">
        <v>40</v>
      </c>
      <c r="I499" s="47">
        <v>630</v>
      </c>
      <c r="J499" s="48">
        <v>126</v>
      </c>
      <c r="K499" s="54">
        <v>72</v>
      </c>
      <c r="L499" s="25" t="str">
        <f>HYPERLINK("http://pirotehnika-optom.ru/292-akcionnye-tovary-optom/6341-tarelka-prostaya-yaponskaya-zheltaya-6341.html","Просмотр")</f>
        <v>0</v>
      </c>
    </row>
    <row r="500" spans="1:12" customHeight="1" ht="11.25">
      <c r="A500" s="43">
        <v>486</v>
      </c>
      <c r="B500" s="44" t="s">
        <v>37</v>
      </c>
      <c r="C500" s="45" t="s">
        <v>37</v>
      </c>
      <c r="D500" s="43" t="s">
        <v>1018</v>
      </c>
      <c r="E500" s="45" t="s">
        <v>1019</v>
      </c>
      <c r="F500" s="46" t="s">
        <v>36</v>
      </c>
      <c r="G500" s="46">
        <v>5</v>
      </c>
      <c r="H500" s="46">
        <v>40</v>
      </c>
      <c r="I500" s="47">
        <v>630</v>
      </c>
      <c r="J500" s="48">
        <v>126</v>
      </c>
      <c r="K500" s="54">
        <v>70</v>
      </c>
      <c r="L500" s="25" t="str">
        <f>HYPERLINK("http://pirotehnika-optom.ru/292-akcionnye-tovary-optom/6343-tarelka-prostaya-yaponskaya-zelyonaya-6343.html","Просмотр")</f>
        <v>0</v>
      </c>
    </row>
    <row r="501" spans="1:12" customHeight="1" ht="11.25">
      <c r="A501" s="43">
        <v>487</v>
      </c>
      <c r="B501" s="44" t="s">
        <v>37</v>
      </c>
      <c r="C501" s="45" t="s">
        <v>37</v>
      </c>
      <c r="D501" s="43" t="s">
        <v>1020</v>
      </c>
      <c r="E501" s="45" t="s">
        <v>1021</v>
      </c>
      <c r="F501" s="46" t="s">
        <v>36</v>
      </c>
      <c r="G501" s="46">
        <v>5</v>
      </c>
      <c r="H501" s="46">
        <v>40</v>
      </c>
      <c r="I501" s="47">
        <v>630</v>
      </c>
      <c r="J501" s="48">
        <v>126</v>
      </c>
      <c r="K501" s="54">
        <v>69</v>
      </c>
      <c r="L501" s="25" t="str">
        <f>HYPERLINK("http://pirotehnika-optom.ru/292-akcionnye-tovary-optom/6342-tarelka-prostaya-yaponskaya-krasnaya-6342.html","Просмотр")</f>
        <v>0</v>
      </c>
    </row>
    <row r="502" spans="1:12" customHeight="1" ht="11.25">
      <c r="A502" s="43">
        <v>488</v>
      </c>
      <c r="B502" s="44" t="s">
        <v>37</v>
      </c>
      <c r="C502" s="45" t="s">
        <v>37</v>
      </c>
      <c r="D502" s="43" t="s">
        <v>1022</v>
      </c>
      <c r="E502" s="45" t="s">
        <v>1023</v>
      </c>
      <c r="F502" s="46" t="s">
        <v>36</v>
      </c>
      <c r="G502" s="46">
        <v>5</v>
      </c>
      <c r="H502" s="46">
        <v>90</v>
      </c>
      <c r="I502" s="47">
        <v>598.5</v>
      </c>
      <c r="J502" s="48">
        <v>119.7</v>
      </c>
      <c r="K502" s="54">
        <v>78</v>
      </c>
      <c r="L502" s="25" t="str">
        <f>HYPERLINK("http://pirotehnika-optom.ru/292-akcionnye-tovary-optom/6339-tarelka-figurnaya-s-sousnicej-belaya-6339.html","Просмотр")</f>
        <v>0</v>
      </c>
    </row>
    <row r="503" spans="1:12" customHeight="1" ht="11.25">
      <c r="A503" s="43">
        <v>489</v>
      </c>
      <c r="B503" s="44" t="s">
        <v>37</v>
      </c>
      <c r="C503" s="45" t="s">
        <v>37</v>
      </c>
      <c r="D503" s="43" t="s">
        <v>1024</v>
      </c>
      <c r="E503" s="45" t="s">
        <v>1025</v>
      </c>
      <c r="F503" s="46" t="s">
        <v>36</v>
      </c>
      <c r="G503" s="46">
        <v>5</v>
      </c>
      <c r="H503" s="46">
        <v>90</v>
      </c>
      <c r="I503" s="47">
        <v>598.5</v>
      </c>
      <c r="J503" s="48">
        <v>119.7</v>
      </c>
      <c r="K503" s="54">
        <v>83</v>
      </c>
      <c r="L503" s="25" t="str">
        <f>HYPERLINK("http://pirotehnika-optom.ru/292-akcionnye-tovary-optom/6334-figurnaya-yaponskaya-tarelka-dlya-klecek-s-sousnicej-zheltaya-6334.html","Просмотр")</f>
        <v>0</v>
      </c>
    </row>
    <row r="504" spans="1:12" customHeight="1" ht="11.25">
      <c r="A504" s="43">
        <v>490</v>
      </c>
      <c r="B504" s="44" t="s">
        <v>37</v>
      </c>
      <c r="C504" s="45" t="s">
        <v>37</v>
      </c>
      <c r="D504" s="43" t="s">
        <v>1026</v>
      </c>
      <c r="E504" s="45" t="s">
        <v>1027</v>
      </c>
      <c r="F504" s="46" t="s">
        <v>36</v>
      </c>
      <c r="G504" s="46">
        <v>5</v>
      </c>
      <c r="H504" s="46">
        <v>90</v>
      </c>
      <c r="I504" s="47">
        <v>598.5</v>
      </c>
      <c r="J504" s="48">
        <v>119.7</v>
      </c>
      <c r="K504" s="54">
        <v>81</v>
      </c>
      <c r="L504" s="25" t="str">
        <f>HYPERLINK("http://pirotehnika-optom.ru/292-akcionnye-tovary-optom/6340-figurnaya-yaponskaya-tarelka-dlya-klecek-s-sousnicej-zelyonaya-6340.html","Просмотр")</f>
        <v>0</v>
      </c>
    </row>
    <row r="505" spans="1:12" customHeight="1" ht="11.25">
      <c r="A505" s="43">
        <v>491</v>
      </c>
      <c r="B505" s="44" t="s">
        <v>37</v>
      </c>
      <c r="C505" s="45" t="s">
        <v>37</v>
      </c>
      <c r="D505" s="43" t="s">
        <v>1028</v>
      </c>
      <c r="E505" s="45" t="s">
        <v>1029</v>
      </c>
      <c r="F505" s="46" t="s">
        <v>36</v>
      </c>
      <c r="G505" s="46">
        <v>5</v>
      </c>
      <c r="H505" s="46">
        <v>90</v>
      </c>
      <c r="I505" s="47">
        <v>598.5</v>
      </c>
      <c r="J505" s="48">
        <v>119.7</v>
      </c>
      <c r="K505" s="54">
        <v>81</v>
      </c>
      <c r="L505" s="25" t="str">
        <f>HYPERLINK("http://pirotehnika-optom.ru/292-akcionnye-tovary-optom/6333-figurnaya-yaponskaya-tarelka-dlya-klecek-s-sousnicej-krasnaya-6333.html","Просмотр")</f>
        <v>0</v>
      </c>
    </row>
    <row r="506" spans="1:12" customHeight="1" ht="11.25">
      <c r="A506" s="43">
        <v>492</v>
      </c>
      <c r="B506" s="44" t="s">
        <v>37</v>
      </c>
      <c r="C506" s="45" t="s">
        <v>37</v>
      </c>
      <c r="D506" s="43" t="s">
        <v>1030</v>
      </c>
      <c r="E506" s="45" t="s">
        <v>1031</v>
      </c>
      <c r="F506" s="46" t="s">
        <v>36</v>
      </c>
      <c r="G506" s="46">
        <v>10</v>
      </c>
      <c r="H506" s="46">
        <v>40</v>
      </c>
      <c r="I506" s="47">
        <v>420</v>
      </c>
      <c r="J506" s="48">
        <v>42</v>
      </c>
      <c r="K506" s="54">
        <v>73</v>
      </c>
      <c r="L506" s="25" t="str">
        <f>HYPERLINK("http://pirotehnika-optom.ru/292-akcionnye-tovary-optom/6381-tarelka-fruktovaya-belaya-6381.html","Просмотр")</f>
        <v>0</v>
      </c>
    </row>
    <row r="507" spans="1:12" customHeight="1" ht="11.25">
      <c r="A507" s="43">
        <v>493</v>
      </c>
      <c r="B507" s="44" t="s">
        <v>37</v>
      </c>
      <c r="C507" s="45" t="s">
        <v>37</v>
      </c>
      <c r="D507" s="43" t="s">
        <v>1032</v>
      </c>
      <c r="E507" s="45" t="s">
        <v>1033</v>
      </c>
      <c r="F507" s="46" t="s">
        <v>36</v>
      </c>
      <c r="G507" s="46">
        <v>10</v>
      </c>
      <c r="H507" s="46">
        <v>40</v>
      </c>
      <c r="I507" s="47">
        <v>420</v>
      </c>
      <c r="J507" s="48">
        <v>42</v>
      </c>
      <c r="K507" s="54">
        <v>74</v>
      </c>
      <c r="L507" s="25" t="str">
        <f>HYPERLINK("http://pirotehnika-optom.ru/292-akcionnye-tovary-optom/6380-tarelka-fruktovaya-zelyonaya-6380.html","Просмотр")</f>
        <v>0</v>
      </c>
    </row>
    <row r="508" spans="1:12" customHeight="1" ht="11.25">
      <c r="A508" s="43">
        <v>494</v>
      </c>
      <c r="B508" s="44" t="s">
        <v>37</v>
      </c>
      <c r="C508" s="45" t="s">
        <v>37</v>
      </c>
      <c r="D508" s="43" t="s">
        <v>1034</v>
      </c>
      <c r="E508" s="45" t="s">
        <v>1035</v>
      </c>
      <c r="F508" s="46" t="s">
        <v>36</v>
      </c>
      <c r="G508" s="46">
        <v>10</v>
      </c>
      <c r="H508" s="46">
        <v>40</v>
      </c>
      <c r="I508" s="47">
        <v>420</v>
      </c>
      <c r="J508" s="48">
        <v>42</v>
      </c>
      <c r="K508" s="54">
        <v>75</v>
      </c>
      <c r="L508" s="25" t="str">
        <f>HYPERLINK("http://pirotehnika-optom.ru/292-akcionnye-tovary-optom/6379-tarelka-fruktovaya-rozovaya-6379.html","Просмотр")</f>
        <v>0</v>
      </c>
    </row>
    <row r="509" spans="1:12" customHeight="1" ht="11.25">
      <c r="A509" s="43">
        <v>495</v>
      </c>
      <c r="B509" s="44" t="s">
        <v>37</v>
      </c>
      <c r="C509" s="45" t="s">
        <v>37</v>
      </c>
      <c r="D509" s="43" t="s">
        <v>1036</v>
      </c>
      <c r="E509" s="45" t="s">
        <v>1037</v>
      </c>
      <c r="F509" s="46" t="s">
        <v>36</v>
      </c>
      <c r="G509" s="46">
        <v>10</v>
      </c>
      <c r="H509" s="46">
        <v>40</v>
      </c>
      <c r="I509" s="47">
        <v>420</v>
      </c>
      <c r="J509" s="48">
        <v>42</v>
      </c>
      <c r="K509" s="54">
        <v>73</v>
      </c>
      <c r="L509" s="25" t="str">
        <f>HYPERLINK("http://pirotehnika-optom.ru/292-akcionnye-tovary-optom/6378-tarelka-fruktovaya-sinyaya-6378.html","Просмотр")</f>
        <v>0</v>
      </c>
    </row>
    <row r="510" spans="1:12" customHeight="1" ht="11.25">
      <c r="A510" s="43">
        <v>496</v>
      </c>
      <c r="B510" s="44" t="s">
        <v>37</v>
      </c>
      <c r="C510" s="45" t="s">
        <v>37</v>
      </c>
      <c r="D510" s="43" t="s">
        <v>1038</v>
      </c>
      <c r="E510" s="45" t="s">
        <v>1039</v>
      </c>
      <c r="F510" s="46" t="s">
        <v>36</v>
      </c>
      <c r="G510" s="46">
        <v>10</v>
      </c>
      <c r="H510" s="46">
        <v>60</v>
      </c>
      <c r="I510" s="47">
        <v>420</v>
      </c>
      <c r="J510" s="48">
        <v>42</v>
      </c>
      <c r="K510" s="54">
        <v>22</v>
      </c>
      <c r="L510" s="25" t="str">
        <f>HYPERLINK("http://pirotehnika-optom.ru/292-akcionnye-tovary-optom/6400-tarelka-shestiugolnaya-iz-pshenichnoj-solomy-belaya-6400.html","Просмотр")</f>
        <v>0</v>
      </c>
    </row>
    <row r="511" spans="1:12" customHeight="1" ht="11.25">
      <c r="A511" s="43">
        <v>497</v>
      </c>
      <c r="B511" s="44" t="s">
        <v>37</v>
      </c>
      <c r="C511" s="45" t="s">
        <v>37</v>
      </c>
      <c r="D511" s="43" t="s">
        <v>1040</v>
      </c>
      <c r="E511" s="45" t="s">
        <v>1041</v>
      </c>
      <c r="F511" s="46" t="s">
        <v>36</v>
      </c>
      <c r="G511" s="46">
        <v>10</v>
      </c>
      <c r="H511" s="46">
        <v>60</v>
      </c>
      <c r="I511" s="47">
        <v>420</v>
      </c>
      <c r="J511" s="48">
        <v>42</v>
      </c>
      <c r="K511" s="54">
        <v>23</v>
      </c>
      <c r="L511" s="25" t="str">
        <f>HYPERLINK("http://pirotehnika-optom.ru/292-akcionnye-tovary-optom/6404-tarelka-shestiugolnaya-iz-pshenichnoj-solomy-zelenaya-6404.html","Просмотр")</f>
        <v>0</v>
      </c>
    </row>
    <row r="512" spans="1:12" customHeight="1" ht="11.25">
      <c r="A512" s="43">
        <v>498</v>
      </c>
      <c r="B512" s="44" t="s">
        <v>37</v>
      </c>
      <c r="C512" s="45" t="s">
        <v>37</v>
      </c>
      <c r="D512" s="43" t="s">
        <v>1042</v>
      </c>
      <c r="E512" s="45" t="s">
        <v>1043</v>
      </c>
      <c r="F512" s="46" t="s">
        <v>36</v>
      </c>
      <c r="G512" s="46">
        <v>10</v>
      </c>
      <c r="H512" s="46">
        <v>60</v>
      </c>
      <c r="I512" s="47">
        <v>420</v>
      </c>
      <c r="J512" s="48">
        <v>42</v>
      </c>
      <c r="K512" s="54">
        <v>23</v>
      </c>
      <c r="L512" s="25" t="str">
        <f>HYPERLINK("http://pirotehnika-optom.ru/292-akcionnye-tovary-optom/6405-tarelka-shestiugolnaya-iz-pshenichnoj-solomy-rozovaya-6405.html","Просмотр")</f>
        <v>0</v>
      </c>
    </row>
    <row r="513" spans="1:12" customHeight="1" ht="11.25">
      <c r="A513" s="43">
        <v>499</v>
      </c>
      <c r="B513" s="44" t="s">
        <v>37</v>
      </c>
      <c r="C513" s="45" t="s">
        <v>37</v>
      </c>
      <c r="D513" s="43" t="s">
        <v>1044</v>
      </c>
      <c r="E513" s="45" t="s">
        <v>1045</v>
      </c>
      <c r="F513" s="46" t="s">
        <v>36</v>
      </c>
      <c r="G513" s="46">
        <v>10</v>
      </c>
      <c r="H513" s="46">
        <v>60</v>
      </c>
      <c r="I513" s="47">
        <v>420</v>
      </c>
      <c r="J513" s="48">
        <v>42</v>
      </c>
      <c r="K513" s="54">
        <v>24</v>
      </c>
      <c r="L513" s="25" t="str">
        <f>HYPERLINK("http://pirotehnika-optom.ru/292-akcionnye-tovary-optom/6402-tarelka-shestiugolnaya-iz-pshenichnoj-solomy-sinyaya-6402.html","Просмотр")</f>
        <v>0</v>
      </c>
    </row>
    <row r="514" spans="1:12" customHeight="1" ht="11.25">
      <c r="A514" s="43">
        <v>500</v>
      </c>
      <c r="B514" s="44" t="s">
        <v>37</v>
      </c>
      <c r="C514" s="45" t="s">
        <v>37</v>
      </c>
      <c r="D514" s="43" t="s">
        <v>1046</v>
      </c>
      <c r="E514" s="45" t="s">
        <v>1047</v>
      </c>
      <c r="F514" s="46" t="s">
        <v>36</v>
      </c>
      <c r="G514" s="46">
        <v>10</v>
      </c>
      <c r="H514" s="46">
        <v>60</v>
      </c>
      <c r="I514" s="47">
        <v>420</v>
      </c>
      <c r="J514" s="48">
        <v>42</v>
      </c>
      <c r="K514" s="54">
        <v>116</v>
      </c>
      <c r="L514" s="25" t="str">
        <f>HYPERLINK("http://pirotehnika-optom.ru/292-akcionnye-tovary-optom/6338-chashka-plastikovaya-belaya-6338.html","Просмотр")</f>
        <v>0</v>
      </c>
    </row>
    <row r="515" spans="1:12" customHeight="1" ht="11.25">
      <c r="A515" s="43">
        <v>501</v>
      </c>
      <c r="B515" s="44" t="s">
        <v>37</v>
      </c>
      <c r="C515" s="45" t="s">
        <v>37</v>
      </c>
      <c r="D515" s="43" t="s">
        <v>1048</v>
      </c>
      <c r="E515" s="45" t="s">
        <v>1049</v>
      </c>
      <c r="F515" s="46" t="s">
        <v>36</v>
      </c>
      <c r="G515" s="46">
        <v>10</v>
      </c>
      <c r="H515" s="46">
        <v>60</v>
      </c>
      <c r="I515" s="47">
        <v>420</v>
      </c>
      <c r="J515" s="48">
        <v>42</v>
      </c>
      <c r="K515" s="54">
        <v>118</v>
      </c>
      <c r="L515" s="25" t="str">
        <f>HYPERLINK("http://pirotehnika-optom.ru/292-akcionnye-tovary-optom/6335-chashka-plastikovaya-zelyonaya-6335.html","Просмотр")</f>
        <v>0</v>
      </c>
    </row>
    <row r="516" spans="1:12" customHeight="1" ht="11.25">
      <c r="A516" s="43">
        <v>502</v>
      </c>
      <c r="B516" s="44" t="s">
        <v>37</v>
      </c>
      <c r="C516" s="45" t="s">
        <v>37</v>
      </c>
      <c r="D516" s="43" t="s">
        <v>1050</v>
      </c>
      <c r="E516" s="45" t="s">
        <v>1051</v>
      </c>
      <c r="F516" s="46" t="s">
        <v>36</v>
      </c>
      <c r="G516" s="46">
        <v>10</v>
      </c>
      <c r="H516" s="46">
        <v>60</v>
      </c>
      <c r="I516" s="47">
        <v>420</v>
      </c>
      <c r="J516" s="48">
        <v>42</v>
      </c>
      <c r="K516" s="54">
        <v>116</v>
      </c>
      <c r="L516" s="25" t="str">
        <f>HYPERLINK("http://pirotehnika-optom.ru/292-akcionnye-tovary-optom/6336-chashka-plastikovaya-rozovaya-6336.html","Просмотр")</f>
        <v>0</v>
      </c>
    </row>
    <row r="517" spans="1:12" customHeight="1" ht="11.25">
      <c r="A517" s="43">
        <v>503</v>
      </c>
      <c r="B517" s="44" t="s">
        <v>37</v>
      </c>
      <c r="C517" s="45" t="s">
        <v>37</v>
      </c>
      <c r="D517" s="43" t="s">
        <v>1052</v>
      </c>
      <c r="E517" s="45" t="s">
        <v>1053</v>
      </c>
      <c r="F517" s="46" t="s">
        <v>36</v>
      </c>
      <c r="G517" s="46">
        <v>10</v>
      </c>
      <c r="H517" s="46">
        <v>60</v>
      </c>
      <c r="I517" s="47">
        <v>420</v>
      </c>
      <c r="J517" s="48">
        <v>42</v>
      </c>
      <c r="K517" s="54">
        <v>117</v>
      </c>
      <c r="L517" s="25" t="str">
        <f>HYPERLINK("http://pirotehnika-optom.ru/292-akcionnye-tovary-optom/6337-chashka-plastikovaya-sinyaya-6337.html","Просмотр")</f>
        <v>0</v>
      </c>
    </row>
    <row r="518" spans="1:12" customHeight="1" ht="11.25">
      <c r="A518"/>
      <c r="B518"/>
      <c r="C518"/>
      <c r="D518"/>
      <c r="E518"/>
      <c r="F518"/>
      <c r="G518"/>
      <c r="H518"/>
      <c r="I518"/>
      <c r="J518"/>
      <c r="K518"/>
      <c r="L518"/>
    </row>
    <row r="519" spans="1:12" customHeight="1" ht="11.25">
      <c r="A519"/>
      <c r="B519"/>
      <c r="C519"/>
      <c r="D519"/>
      <c r="E519"/>
      <c r="F519"/>
      <c r="G519"/>
      <c r="H519"/>
      <c r="I519"/>
      <c r="J519"/>
      <c r="K519"/>
      <c r="L519"/>
    </row>
    <row r="520" spans="1:12" customHeight="1" ht="11.25">
      <c r="A520"/>
      <c r="B520"/>
      <c r="C520"/>
      <c r="D520"/>
      <c r="E520"/>
      <c r="F520"/>
      <c r="G520"/>
      <c r="H520"/>
      <c r="I520"/>
      <c r="J520"/>
      <c r="K520"/>
      <c r="L520"/>
    </row>
    <row r="521" spans="1:12" customHeight="1" ht="11.25">
      <c r="A521"/>
      <c r="B521"/>
      <c r="C521"/>
      <c r="D521"/>
      <c r="E521"/>
      <c r="F521"/>
      <c r="G521"/>
      <c r="H521"/>
      <c r="I521"/>
      <c r="J521"/>
      <c r="K521"/>
      <c r="L521"/>
    </row>
    <row r="522" spans="1:12" customHeight="1" ht="11.25">
      <c r="A522"/>
      <c r="B522"/>
      <c r="C522"/>
      <c r="D522"/>
      <c r="E522"/>
      <c r="F522"/>
      <c r="G522"/>
      <c r="H522"/>
      <c r="I522"/>
      <c r="J522"/>
      <c r="K522"/>
      <c r="L522"/>
    </row>
    <row r="523" spans="1:12" customHeight="1" ht="11.25">
      <c r="A523"/>
      <c r="B523"/>
      <c r="C523"/>
      <c r="D523"/>
      <c r="E523"/>
      <c r="F523"/>
      <c r="G523"/>
      <c r="H523"/>
      <c r="I523"/>
      <c r="J523"/>
      <c r="K523"/>
      <c r="L523"/>
    </row>
    <row r="524" spans="1:12" customHeight="1" ht="11.25">
      <c r="A524"/>
      <c r="B524"/>
      <c r="C524"/>
      <c r="D524"/>
      <c r="E524"/>
      <c r="F524"/>
      <c r="G524"/>
      <c r="H524"/>
      <c r="I524"/>
      <c r="J524"/>
      <c r="K524"/>
      <c r="L524"/>
    </row>
    <row r="525" spans="1:12" customHeight="1" ht="11.25">
      <c r="A525"/>
      <c r="B525"/>
      <c r="C525"/>
      <c r="D525"/>
      <c r="E525"/>
      <c r="F525"/>
      <c r="G525"/>
      <c r="H525"/>
      <c r="I525"/>
      <c r="J525"/>
      <c r="K525"/>
      <c r="L525"/>
    </row>
    <row r="526" spans="1:12" customHeight="1" ht="11.25">
      <c r="A526"/>
      <c r="B526"/>
      <c r="C526"/>
      <c r="D526"/>
      <c r="E526"/>
      <c r="F526"/>
      <c r="G526"/>
      <c r="H526"/>
      <c r="I526"/>
      <c r="J526"/>
      <c r="K526"/>
      <c r="L526"/>
    </row>
    <row r="527" spans="1:12" customHeight="1" ht="11.25">
      <c r="A527"/>
      <c r="B527"/>
      <c r="C527"/>
      <c r="D527"/>
      <c r="E527"/>
      <c r="F527"/>
      <c r="G527"/>
      <c r="H527"/>
      <c r="I527"/>
      <c r="J527"/>
      <c r="K527"/>
      <c r="L527"/>
    </row>
    <row r="528" spans="1:12" customHeight="1" ht="11.25">
      <c r="A528"/>
      <c r="B528"/>
      <c r="C528"/>
      <c r="D528"/>
      <c r="E528"/>
      <c r="F528"/>
      <c r="G528"/>
      <c r="H528"/>
      <c r="I528"/>
      <c r="J528"/>
      <c r="K528"/>
      <c r="L528"/>
    </row>
    <row r="529" spans="1:12" customHeight="1" ht="11.25">
      <c r="A529"/>
      <c r="B529"/>
      <c r="C529"/>
      <c r="D529"/>
      <c r="E529"/>
      <c r="F529"/>
      <c r="G529"/>
      <c r="H529"/>
      <c r="I529"/>
      <c r="J529"/>
      <c r="K529"/>
      <c r="L529"/>
    </row>
    <row r="530" spans="1:12" customHeight="1" ht="11.25">
      <c r="A530"/>
      <c r="B530"/>
      <c r="C530"/>
      <c r="D530"/>
      <c r="E530"/>
      <c r="F530"/>
      <c r="G530"/>
      <c r="H530"/>
      <c r="I530"/>
      <c r="J530"/>
      <c r="K530"/>
      <c r="L530"/>
    </row>
    <row r="531" spans="1:12" customHeight="1" ht="11.25">
      <c r="A531"/>
      <c r="B531"/>
      <c r="C531"/>
      <c r="D531"/>
      <c r="E531"/>
      <c r="F531"/>
      <c r="G531"/>
      <c r="H531"/>
      <c r="I531"/>
      <c r="J531"/>
      <c r="K531"/>
      <c r="L531"/>
    </row>
    <row r="532" spans="1:12" customHeight="1" ht="11.25">
      <c r="A532"/>
      <c r="B532"/>
      <c r="C532"/>
      <c r="D532"/>
      <c r="E532"/>
      <c r="F532"/>
      <c r="G532"/>
      <c r="H532"/>
      <c r="I532"/>
      <c r="J532"/>
      <c r="K532"/>
      <c r="L532"/>
    </row>
    <row r="533" spans="1:12" customHeight="1" ht="11.25">
      <c r="A533"/>
      <c r="B533"/>
      <c r="C533"/>
      <c r="D533"/>
      <c r="E533"/>
      <c r="F533"/>
      <c r="G533"/>
      <c r="H533"/>
      <c r="I533"/>
      <c r="J533"/>
      <c r="K533"/>
      <c r="L533"/>
    </row>
    <row r="534" spans="1:12" customHeight="1" ht="11.25">
      <c r="A534"/>
      <c r="B534"/>
      <c r="C534"/>
      <c r="D534"/>
      <c r="E534"/>
      <c r="F534"/>
      <c r="G534"/>
      <c r="H534"/>
      <c r="I534"/>
      <c r="J534"/>
      <c r="K534"/>
      <c r="L534"/>
    </row>
    <row r="535" spans="1:12" customHeight="1" ht="11.25">
      <c r="A535"/>
      <c r="B535"/>
      <c r="C535"/>
      <c r="D535"/>
      <c r="E535"/>
      <c r="F535"/>
      <c r="G535"/>
      <c r="H535"/>
      <c r="I535"/>
      <c r="J535"/>
      <c r="K535"/>
      <c r="L535"/>
    </row>
    <row r="536" spans="1:12" customHeight="1" ht="11.25">
      <c r="A536"/>
      <c r="B536"/>
      <c r="C536"/>
      <c r="D536"/>
      <c r="E536"/>
      <c r="F536"/>
      <c r="G536"/>
      <c r="H536"/>
      <c r="I536"/>
      <c r="J536"/>
      <c r="K536"/>
      <c r="L536"/>
    </row>
    <row r="537" spans="1:12" customHeight="1" ht="11.25">
      <c r="A537"/>
      <c r="B537"/>
      <c r="C537"/>
      <c r="D537"/>
      <c r="E537"/>
      <c r="F537"/>
      <c r="G537"/>
      <c r="H537"/>
      <c r="I537"/>
      <c r="J537"/>
      <c r="K537"/>
      <c r="L537"/>
    </row>
    <row r="538" spans="1:12" customHeight="1" ht="11.25">
      <c r="A538"/>
      <c r="B538"/>
      <c r="C538"/>
      <c r="D538"/>
      <c r="E538"/>
      <c r="F538"/>
      <c r="G538"/>
      <c r="H538"/>
      <c r="I538"/>
      <c r="J538"/>
      <c r="K538"/>
      <c r="L538"/>
    </row>
    <row r="539" spans="1:12" customHeight="1" ht="11.25">
      <c r="A539"/>
      <c r="B539"/>
      <c r="C539"/>
      <c r="D539"/>
      <c r="E539"/>
      <c r="F539"/>
      <c r="G539"/>
      <c r="H539"/>
      <c r="I539"/>
      <c r="J539"/>
      <c r="K539"/>
      <c r="L539"/>
    </row>
    <row r="540" spans="1:12" customHeight="1" ht="11.25">
      <c r="A540"/>
      <c r="B540"/>
      <c r="C540"/>
      <c r="D540"/>
      <c r="E540"/>
      <c r="F540"/>
      <c r="G540"/>
      <c r="H540"/>
      <c r="I540"/>
      <c r="J540"/>
      <c r="K540"/>
      <c r="L540"/>
    </row>
    <row r="541" spans="1:12" customHeight="1" ht="11.25">
      <c r="A541"/>
      <c r="B541"/>
      <c r="C541"/>
      <c r="D541"/>
      <c r="E541"/>
      <c r="F541"/>
      <c r="G541"/>
      <c r="H541"/>
      <c r="I541"/>
      <c r="J541"/>
      <c r="K541"/>
      <c r="L541"/>
    </row>
    <row r="542" spans="1:12" customHeight="1" ht="11.25">
      <c r="A542"/>
      <c r="B542"/>
      <c r="C542"/>
      <c r="D542"/>
      <c r="E542"/>
      <c r="F542"/>
      <c r="G542"/>
      <c r="H542"/>
      <c r="I542"/>
      <c r="J542"/>
      <c r="K542"/>
      <c r="L542"/>
    </row>
    <row r="543" spans="1:12" customHeight="1" ht="11.25">
      <c r="A543"/>
      <c r="B543"/>
      <c r="C543"/>
      <c r="D543"/>
      <c r="E543"/>
      <c r="F543"/>
      <c r="G543"/>
      <c r="H543"/>
      <c r="I543"/>
      <c r="J543"/>
      <c r="K543"/>
      <c r="L543"/>
    </row>
    <row r="544" spans="1:12" customHeight="1" ht="11.25">
      <c r="A544"/>
      <c r="B544"/>
      <c r="C544"/>
      <c r="D544"/>
      <c r="E544"/>
      <c r="F544"/>
      <c r="G544"/>
      <c r="H544"/>
      <c r="I544"/>
      <c r="J544"/>
      <c r="K544"/>
      <c r="L544"/>
    </row>
    <row r="545" spans="1:12" customHeight="1" ht="11.25">
      <c r="A545"/>
      <c r="B545"/>
      <c r="C545"/>
      <c r="D545"/>
      <c r="E545"/>
      <c r="F545"/>
      <c r="G545"/>
      <c r="H545"/>
      <c r="I545"/>
      <c r="J545"/>
      <c r="K545"/>
      <c r="L545"/>
    </row>
    <row r="546" spans="1:12" customHeight="1" ht="11.25">
      <c r="A546"/>
      <c r="B546"/>
      <c r="C546"/>
      <c r="D546"/>
      <c r="E546"/>
      <c r="F546"/>
      <c r="G546"/>
      <c r="H546"/>
      <c r="I546"/>
      <c r="J546"/>
      <c r="K546"/>
      <c r="L546"/>
    </row>
    <row r="547" spans="1:12" customHeight="1" ht="11.25">
      <c r="A547"/>
      <c r="B547"/>
      <c r="C547"/>
      <c r="D547"/>
      <c r="E547"/>
      <c r="F547"/>
      <c r="G547"/>
      <c r="H547"/>
      <c r="I547"/>
      <c r="J547"/>
      <c r="K547"/>
      <c r="L547"/>
    </row>
    <row r="548" spans="1:12" customHeight="1" ht="11.25">
      <c r="A548"/>
      <c r="B548"/>
      <c r="C548"/>
      <c r="D548"/>
      <c r="E548"/>
      <c r="F548"/>
      <c r="G548"/>
      <c r="H548"/>
      <c r="I548"/>
      <c r="J548"/>
      <c r="K548"/>
      <c r="L548"/>
    </row>
    <row r="549" spans="1:12" customHeight="1" ht="11.25">
      <c r="A549"/>
      <c r="B549"/>
      <c r="C549"/>
      <c r="D549"/>
      <c r="E549"/>
      <c r="F549"/>
      <c r="G549"/>
      <c r="H549"/>
      <c r="I549"/>
      <c r="J549"/>
      <c r="K549"/>
      <c r="L549"/>
    </row>
    <row r="550" spans="1:12" customHeight="1" ht="11.25">
      <c r="A550"/>
      <c r="B550"/>
      <c r="C550"/>
      <c r="D550"/>
      <c r="E550"/>
      <c r="F550"/>
      <c r="G550"/>
      <c r="H550"/>
      <c r="I550"/>
      <c r="J550"/>
      <c r="K550"/>
      <c r="L550"/>
    </row>
    <row r="551" spans="1:12" customHeight="1" ht="11.25">
      <c r="A551"/>
      <c r="B551"/>
      <c r="C551"/>
      <c r="D551"/>
      <c r="E551"/>
      <c r="F551"/>
      <c r="G551"/>
      <c r="H551"/>
      <c r="I551"/>
      <c r="J551"/>
      <c r="K551"/>
      <c r="L551"/>
    </row>
    <row r="552" spans="1:12" customHeight="1" ht="11.25">
      <c r="A552"/>
      <c r="B552"/>
      <c r="C552"/>
      <c r="D552"/>
      <c r="E552"/>
      <c r="F552"/>
      <c r="G552"/>
      <c r="H552"/>
      <c r="I552"/>
      <c r="J552"/>
      <c r="K552"/>
      <c r="L552"/>
    </row>
    <row r="553" spans="1:12" customHeight="1" ht="11.25">
      <c r="A553"/>
      <c r="B553"/>
      <c r="C553"/>
      <c r="D553"/>
      <c r="E553"/>
      <c r="F553"/>
      <c r="G553"/>
      <c r="H553"/>
      <c r="I553"/>
      <c r="J553"/>
      <c r="K553"/>
      <c r="L553"/>
    </row>
    <row r="554" spans="1:12" customHeight="1" ht="13.5">
      <c r="A554"/>
      <c r="B554"/>
      <c r="C554"/>
      <c r="D554"/>
      <c r="E554"/>
      <c r="F554"/>
      <c r="G554"/>
      <c r="H554"/>
      <c r="I554"/>
      <c r="J554"/>
      <c r="K554"/>
      <c r="L554"/>
    </row>
    <row r="555" spans="1:12" customHeight="1" ht="11.25">
      <c r="A555"/>
      <c r="B555"/>
      <c r="C555"/>
      <c r="D555"/>
      <c r="E555"/>
      <c r="F555"/>
      <c r="G555"/>
      <c r="H555"/>
      <c r="I555"/>
      <c r="J555"/>
      <c r="K555"/>
      <c r="L555"/>
    </row>
    <row r="556" spans="1:12" customHeight="1" ht="11.25">
      <c r="A556"/>
      <c r="B556"/>
      <c r="C556"/>
      <c r="D556"/>
      <c r="E556"/>
      <c r="F556"/>
      <c r="G556"/>
      <c r="H556"/>
      <c r="I556"/>
      <c r="J556"/>
      <c r="K556"/>
      <c r="L556"/>
    </row>
    <row r="557" spans="1:12" customHeight="1" ht="11.25">
      <c r="A557"/>
      <c r="B557"/>
      <c r="C557"/>
      <c r="D557"/>
      <c r="E557"/>
      <c r="F557"/>
      <c r="G557"/>
      <c r="H557"/>
      <c r="I557"/>
      <c r="J557"/>
      <c r="K557"/>
      <c r="L557"/>
    </row>
    <row r="558" spans="1:12" customHeight="1" ht="11.25">
      <c r="A558"/>
      <c r="B558"/>
      <c r="C558"/>
      <c r="D558"/>
      <c r="E558"/>
      <c r="F558"/>
      <c r="G558"/>
      <c r="H558"/>
      <c r="I558"/>
      <c r="J558"/>
      <c r="K558"/>
      <c r="L558"/>
    </row>
    <row r="559" spans="1:12" customHeight="1" ht="11.25">
      <c r="A559"/>
      <c r="B559"/>
      <c r="C559"/>
      <c r="D559"/>
      <c r="E559"/>
      <c r="F559"/>
      <c r="G559"/>
      <c r="H559"/>
      <c r="I559"/>
      <c r="J559"/>
      <c r="K559"/>
      <c r="L559"/>
    </row>
    <row r="560" spans="1:12" customHeight="1" ht="11.25">
      <c r="A560"/>
      <c r="B560"/>
      <c r="C560"/>
      <c r="D560"/>
      <c r="E560"/>
      <c r="F560"/>
      <c r="G560"/>
      <c r="H560"/>
      <c r="I560"/>
      <c r="J560"/>
      <c r="K560"/>
      <c r="L560"/>
    </row>
    <row r="561" spans="1:12" customHeight="1" ht="11.25">
      <c r="A561"/>
      <c r="B561"/>
      <c r="C561"/>
      <c r="D561"/>
      <c r="E561"/>
      <c r="F561"/>
      <c r="G561"/>
      <c r="H561"/>
      <c r="I561"/>
      <c r="J561"/>
      <c r="K561"/>
      <c r="L561"/>
    </row>
    <row r="562" spans="1:12" customHeight="1" ht="11.25">
      <c r="A562"/>
      <c r="B562"/>
      <c r="C562"/>
      <c r="D562"/>
      <c r="E562"/>
      <c r="F562"/>
      <c r="G562"/>
      <c r="H562"/>
      <c r="I562"/>
      <c r="J562"/>
      <c r="K562"/>
      <c r="L562"/>
    </row>
    <row r="563" spans="1:12" customHeight="1" ht="11.25">
      <c r="A563"/>
      <c r="B563"/>
      <c r="C563"/>
      <c r="D563"/>
      <c r="E563"/>
      <c r="F563"/>
      <c r="G563"/>
      <c r="H563"/>
      <c r="I563"/>
      <c r="J563"/>
      <c r="K563"/>
      <c r="L563"/>
    </row>
    <row r="564" spans="1:12" customHeight="1" ht="11.25">
      <c r="A564"/>
      <c r="B564"/>
      <c r="C564"/>
      <c r="D564"/>
      <c r="E564"/>
      <c r="F564"/>
      <c r="G564"/>
      <c r="H564"/>
      <c r="I564"/>
      <c r="J564"/>
      <c r="K564"/>
      <c r="L564"/>
    </row>
    <row r="565" spans="1:12" customHeight="1" ht="11.25">
      <c r="A565"/>
      <c r="B565"/>
      <c r="C565"/>
      <c r="D565"/>
      <c r="E565"/>
      <c r="F565"/>
      <c r="G565"/>
      <c r="H565"/>
      <c r="I565"/>
      <c r="J565"/>
      <c r="K565"/>
      <c r="L565"/>
    </row>
    <row r="566" spans="1:12" customHeight="1" ht="11.25">
      <c r="A566"/>
      <c r="B566"/>
      <c r="C566"/>
      <c r="D566"/>
      <c r="E566"/>
      <c r="F566"/>
      <c r="G566"/>
      <c r="H566"/>
      <c r="I566"/>
      <c r="J566"/>
      <c r="K566"/>
      <c r="L566"/>
    </row>
    <row r="567" spans="1:12" customHeight="1" ht="11.25">
      <c r="A567"/>
      <c r="B567"/>
      <c r="C567"/>
      <c r="D567"/>
      <c r="E567"/>
      <c r="F567"/>
      <c r="G567"/>
      <c r="H567"/>
      <c r="I567"/>
      <c r="J567"/>
      <c r="K567"/>
      <c r="L567"/>
    </row>
    <row r="568" spans="1:12" customHeight="1" ht="11.25">
      <c r="A568"/>
      <c r="B568"/>
      <c r="C568"/>
      <c r="D568"/>
      <c r="E568"/>
      <c r="F568"/>
      <c r="G568"/>
      <c r="H568"/>
      <c r="I568"/>
      <c r="J568"/>
      <c r="K568"/>
      <c r="L568"/>
    </row>
    <row r="569" spans="1:12" customHeight="1" ht="11.25">
      <c r="A569"/>
      <c r="B569"/>
      <c r="C569"/>
      <c r="D569"/>
      <c r="E569"/>
      <c r="F569"/>
      <c r="G569"/>
      <c r="H569"/>
      <c r="I569"/>
      <c r="J569"/>
      <c r="K569"/>
      <c r="L569"/>
    </row>
    <row r="570" spans="1:12" customHeight="1" ht="11.25">
      <c r="A570"/>
      <c r="B570"/>
      <c r="C570"/>
      <c r="D570"/>
      <c r="E570"/>
      <c r="F570"/>
      <c r="G570"/>
      <c r="H570"/>
      <c r="I570"/>
      <c r="J570"/>
      <c r="K570"/>
      <c r="L570"/>
    </row>
    <row r="571" spans="1:12" customHeight="1" ht="11.25">
      <c r="A571"/>
      <c r="B571"/>
      <c r="C571"/>
      <c r="D571"/>
      <c r="E571"/>
      <c r="F571"/>
      <c r="G571"/>
      <c r="H571"/>
      <c r="I571"/>
      <c r="J571"/>
      <c r="K571"/>
      <c r="L571"/>
    </row>
    <row r="572" spans="1:12" customHeight="1" ht="11.25">
      <c r="A572"/>
      <c r="B572"/>
      <c r="C572"/>
      <c r="D572"/>
      <c r="E572"/>
      <c r="F572"/>
      <c r="G572"/>
      <c r="H572"/>
      <c r="I572"/>
      <c r="J572"/>
      <c r="K572"/>
      <c r="L572"/>
    </row>
    <row r="573" spans="1:12" customHeight="1" ht="11.25">
      <c r="A573"/>
      <c r="B573"/>
      <c r="C573"/>
      <c r="D573"/>
      <c r="E573"/>
      <c r="F573"/>
      <c r="G573"/>
      <c r="H573"/>
      <c r="I573"/>
      <c r="J573"/>
      <c r="K573"/>
      <c r="L573"/>
    </row>
    <row r="574" spans="1:12" customHeight="1" ht="11.25">
      <c r="A574"/>
      <c r="B574"/>
      <c r="C574"/>
      <c r="D574"/>
      <c r="E574"/>
      <c r="F574"/>
      <c r="G574"/>
      <c r="H574"/>
      <c r="I574"/>
      <c r="J574"/>
      <c r="K574"/>
      <c r="L574"/>
    </row>
    <row r="575" spans="1:12" customHeight="1" ht="11.25">
      <c r="A575"/>
      <c r="B575"/>
      <c r="C575"/>
      <c r="D575"/>
      <c r="E575"/>
      <c r="F575"/>
      <c r="G575"/>
      <c r="H575"/>
      <c r="I575"/>
      <c r="J575"/>
      <c r="K575"/>
      <c r="L575"/>
    </row>
    <row r="576" spans="1:12" customHeight="1" ht="11.25">
      <c r="A576"/>
      <c r="B576"/>
      <c r="C576"/>
      <c r="D576"/>
      <c r="E576"/>
      <c r="F576"/>
      <c r="G576"/>
      <c r="H576"/>
      <c r="I576"/>
      <c r="J576"/>
      <c r="K576"/>
      <c r="L576"/>
    </row>
    <row r="577" spans="1:12" customHeight="1" ht="11.25">
      <c r="A577"/>
      <c r="B577"/>
      <c r="C577"/>
      <c r="D577"/>
      <c r="E577"/>
      <c r="F577"/>
      <c r="G577"/>
      <c r="H577"/>
      <c r="I577"/>
      <c r="J577"/>
      <c r="K577"/>
      <c r="L577"/>
    </row>
    <row r="578" spans="1:12" customHeight="1" ht="11.25">
      <c r="A578"/>
      <c r="B578"/>
      <c r="C578"/>
      <c r="D578"/>
      <c r="E578"/>
      <c r="F578"/>
      <c r="G578"/>
      <c r="H578"/>
      <c r="I578"/>
      <c r="J578"/>
      <c r="K578"/>
      <c r="L578"/>
    </row>
    <row r="579" spans="1:12" customHeight="1" ht="11.25">
      <c r="A579"/>
      <c r="B579"/>
      <c r="C579"/>
      <c r="D579"/>
      <c r="E579"/>
      <c r="F579"/>
      <c r="G579"/>
      <c r="H579"/>
      <c r="I579"/>
      <c r="J579"/>
      <c r="K579"/>
      <c r="L579"/>
    </row>
    <row r="580" spans="1:12" customHeight="1" ht="11.25">
      <c r="A580"/>
      <c r="B580"/>
      <c r="C580"/>
      <c r="D580"/>
      <c r="E580"/>
      <c r="F580"/>
      <c r="G580"/>
      <c r="H580"/>
      <c r="I580"/>
      <c r="J580"/>
      <c r="K580"/>
      <c r="L580"/>
    </row>
    <row r="581" spans="1:12" customHeight="1" ht="11.25">
      <c r="A581"/>
      <c r="B581"/>
      <c r="C581"/>
      <c r="D581"/>
      <c r="E581"/>
      <c r="F581"/>
      <c r="G581"/>
      <c r="H581"/>
      <c r="I581"/>
      <c r="J581"/>
      <c r="K581"/>
      <c r="L581"/>
    </row>
    <row r="582" spans="1:12" customHeight="1" ht="11.25">
      <c r="A582"/>
      <c r="B582"/>
      <c r="C582"/>
      <c r="D582"/>
      <c r="E582"/>
      <c r="F582"/>
      <c r="G582"/>
      <c r="H582"/>
      <c r="I582"/>
      <c r="J582"/>
      <c r="K582"/>
      <c r="L582"/>
    </row>
    <row r="583" spans="1:12" customHeight="1" ht="11.25">
      <c r="A583"/>
      <c r="B583"/>
      <c r="C583"/>
      <c r="D583"/>
      <c r="E583"/>
      <c r="F583"/>
      <c r="G583"/>
      <c r="H583"/>
      <c r="I583"/>
      <c r="J583"/>
      <c r="K583"/>
      <c r="L583"/>
    </row>
    <row r="584" spans="1:12" customHeight="1" ht="11.25">
      <c r="A584"/>
      <c r="B584"/>
      <c r="C584"/>
      <c r="D584"/>
      <c r="E584"/>
      <c r="F584"/>
      <c r="G584"/>
      <c r="H584"/>
      <c r="I584"/>
      <c r="J584"/>
      <c r="K584"/>
      <c r="L584"/>
    </row>
    <row r="585" spans="1:12" customHeight="1" ht="11.25">
      <c r="A585"/>
      <c r="B585"/>
      <c r="C585"/>
      <c r="D585"/>
      <c r="E585"/>
      <c r="F585"/>
      <c r="G585"/>
      <c r="H585"/>
      <c r="I585"/>
      <c r="J585"/>
      <c r="K585"/>
      <c r="L585"/>
    </row>
    <row r="586" spans="1:12" customHeight="1" ht="11.25">
      <c r="A586"/>
      <c r="B586"/>
      <c r="C586"/>
      <c r="D586"/>
      <c r="E586"/>
      <c r="F586"/>
      <c r="G586"/>
      <c r="H586"/>
      <c r="I586"/>
      <c r="J586"/>
      <c r="K586"/>
      <c r="L586"/>
    </row>
    <row r="587" spans="1:12" customHeight="1" ht="11.25">
      <c r="A587"/>
      <c r="B587"/>
      <c r="C587"/>
      <c r="D587"/>
      <c r="E587"/>
      <c r="F587"/>
      <c r="G587"/>
      <c r="H587"/>
      <c r="I587"/>
      <c r="J587"/>
      <c r="K587"/>
      <c r="L587"/>
    </row>
    <row r="588" spans="1:12" customHeight="1" ht="11.25">
      <c r="A588"/>
      <c r="B588"/>
      <c r="C588"/>
      <c r="D588"/>
      <c r="E588"/>
      <c r="F588"/>
      <c r="G588"/>
      <c r="H588"/>
      <c r="I588"/>
      <c r="J588"/>
      <c r="K588"/>
      <c r="L588"/>
    </row>
    <row r="589" spans="1:12" customHeight="1" ht="11.25">
      <c r="A589"/>
      <c r="B589"/>
      <c r="C589"/>
      <c r="D589"/>
      <c r="E589"/>
      <c r="F589"/>
      <c r="G589"/>
      <c r="H589"/>
      <c r="I589"/>
      <c r="J589"/>
      <c r="K589"/>
      <c r="L589"/>
    </row>
    <row r="590" spans="1:12" customHeight="1" ht="11.25">
      <c r="A590"/>
      <c r="B590"/>
      <c r="C590"/>
      <c r="D590"/>
      <c r="E590"/>
      <c r="F590"/>
      <c r="G590"/>
      <c r="H590"/>
      <c r="I590"/>
      <c r="J590"/>
      <c r="K590"/>
      <c r="L590"/>
    </row>
    <row r="591" spans="1:12" customHeight="1" ht="11.25">
      <c r="A591"/>
      <c r="B591"/>
      <c r="C591"/>
      <c r="D591"/>
      <c r="E591"/>
      <c r="F591"/>
      <c r="G591"/>
      <c r="H591"/>
      <c r="I591"/>
      <c r="J591"/>
      <c r="K591"/>
      <c r="L591"/>
    </row>
    <row r="592" spans="1:12" customHeight="1" ht="11.25">
      <c r="A592"/>
      <c r="B592"/>
      <c r="C592"/>
      <c r="D592"/>
      <c r="E592"/>
      <c r="F592"/>
      <c r="G592"/>
      <c r="H592"/>
      <c r="I592"/>
      <c r="J592"/>
      <c r="K592"/>
      <c r="L592"/>
    </row>
    <row r="593" spans="1:12" customHeight="1" ht="11.25">
      <c r="A593"/>
      <c r="B593"/>
      <c r="C593"/>
      <c r="D593"/>
      <c r="E593"/>
      <c r="F593"/>
      <c r="G593"/>
      <c r="H593"/>
      <c r="I593"/>
      <c r="J593"/>
      <c r="K593"/>
      <c r="L593"/>
    </row>
    <row r="594" spans="1:12" customHeight="1" ht="11.25">
      <c r="A594"/>
      <c r="B594"/>
      <c r="C594"/>
      <c r="D594"/>
      <c r="E594"/>
      <c r="F594"/>
      <c r="G594"/>
      <c r="H594"/>
      <c r="I594"/>
      <c r="J594"/>
      <c r="K594"/>
      <c r="L594"/>
    </row>
    <row r="595" spans="1:12" customHeight="1" ht="11.25">
      <c r="A595"/>
      <c r="B595"/>
      <c r="C595"/>
      <c r="D595"/>
      <c r="E595"/>
      <c r="F595"/>
      <c r="G595"/>
      <c r="H595"/>
      <c r="I595"/>
      <c r="J595"/>
      <c r="K595"/>
      <c r="L595"/>
    </row>
    <row r="596" spans="1:12" customHeight="1" ht="11.25">
      <c r="A596"/>
      <c r="B596"/>
      <c r="C596"/>
      <c r="D596"/>
      <c r="E596"/>
      <c r="F596"/>
      <c r="G596"/>
      <c r="H596"/>
      <c r="I596"/>
      <c r="J596"/>
      <c r="K596"/>
      <c r="L596"/>
    </row>
    <row r="597" spans="1:12" customHeight="1" ht="11.25">
      <c r="A597"/>
      <c r="B597"/>
      <c r="C597"/>
      <c r="D597"/>
      <c r="E597"/>
      <c r="F597"/>
      <c r="G597"/>
      <c r="H597"/>
      <c r="I597"/>
      <c r="J597"/>
      <c r="K597"/>
      <c r="L597"/>
    </row>
    <row r="598" spans="1:12" customHeight="1" ht="11.25">
      <c r="A598"/>
      <c r="B598"/>
      <c r="C598"/>
      <c r="D598"/>
      <c r="E598"/>
      <c r="F598"/>
      <c r="G598"/>
      <c r="H598"/>
      <c r="I598"/>
      <c r="J598"/>
      <c r="K598"/>
      <c r="L598"/>
    </row>
    <row r="599" spans="1:12" customHeight="1" ht="11.25">
      <c r="A599"/>
      <c r="B599"/>
      <c r="C599"/>
      <c r="D599"/>
      <c r="E599"/>
      <c r="F599"/>
      <c r="G599"/>
      <c r="H599"/>
      <c r="I599"/>
      <c r="J599"/>
      <c r="K599"/>
      <c r="L599"/>
    </row>
    <row r="600" spans="1:12" customHeight="1" ht="11.25">
      <c r="A600"/>
      <c r="B600"/>
      <c r="C600"/>
      <c r="D600"/>
      <c r="E600"/>
      <c r="F600"/>
      <c r="G600"/>
      <c r="H600"/>
      <c r="I600"/>
      <c r="J600"/>
      <c r="K600"/>
      <c r="L600"/>
    </row>
    <row r="601" spans="1:12" customHeight="1" ht="11.25">
      <c r="A601"/>
      <c r="B601"/>
      <c r="C601"/>
      <c r="D601"/>
      <c r="E601"/>
      <c r="F601"/>
      <c r="G601"/>
      <c r="H601"/>
      <c r="I601"/>
      <c r="J601"/>
      <c r="K601"/>
      <c r="L601"/>
    </row>
    <row r="602" spans="1:12" customHeight="1" ht="11.25">
      <c r="A602"/>
      <c r="B602"/>
      <c r="C602"/>
      <c r="D602"/>
      <c r="E602"/>
      <c r="F602"/>
      <c r="G602"/>
      <c r="H602"/>
      <c r="I602"/>
      <c r="J602"/>
      <c r="K602"/>
      <c r="L602"/>
    </row>
    <row r="603" spans="1:12" customHeight="1" ht="11.25">
      <c r="A603"/>
      <c r="B603"/>
      <c r="C603"/>
      <c r="D603"/>
      <c r="E603"/>
      <c r="F603"/>
      <c r="G603"/>
      <c r="H603"/>
      <c r="I603"/>
      <c r="J603"/>
      <c r="K603"/>
      <c r="L603"/>
    </row>
    <row r="604" spans="1:12" customHeight="1" ht="11.25">
      <c r="A604"/>
      <c r="B604"/>
      <c r="C604"/>
      <c r="D604"/>
      <c r="E604"/>
      <c r="F604"/>
      <c r="G604"/>
      <c r="H604"/>
      <c r="I604"/>
      <c r="J604"/>
      <c r="K604"/>
      <c r="L604"/>
    </row>
    <row r="605" spans="1:12" customHeight="1" ht="11.25">
      <c r="A605"/>
      <c r="B605"/>
      <c r="C605"/>
      <c r="D605"/>
      <c r="E605"/>
      <c r="F605"/>
      <c r="G605"/>
      <c r="H605"/>
      <c r="I605"/>
      <c r="J605"/>
      <c r="K605"/>
      <c r="L605"/>
    </row>
    <row r="606" spans="1:12" customHeight="1" ht="11.25">
      <c r="A606"/>
      <c r="B606"/>
      <c r="C606"/>
      <c r="D606"/>
      <c r="E606"/>
      <c r="F606"/>
      <c r="G606"/>
      <c r="H606"/>
      <c r="I606"/>
      <c r="J606"/>
      <c r="K606"/>
      <c r="L606"/>
    </row>
    <row r="607" spans="1:12" customHeight="1" ht="11.25">
      <c r="A607"/>
      <c r="B607"/>
      <c r="C607"/>
      <c r="D607"/>
      <c r="E607"/>
      <c r="F607"/>
      <c r="G607"/>
      <c r="H607"/>
      <c r="I607"/>
      <c r="J607"/>
      <c r="K607"/>
      <c r="L607"/>
    </row>
    <row r="608" spans="1:12" customHeight="1" ht="11.25">
      <c r="A608"/>
      <c r="B608"/>
      <c r="C608"/>
      <c r="D608"/>
      <c r="E608"/>
      <c r="F608"/>
      <c r="G608"/>
      <c r="H608"/>
      <c r="I608"/>
      <c r="J608"/>
      <c r="K608"/>
      <c r="L608"/>
    </row>
    <row r="609" spans="1:12" customHeight="1" ht="11.25">
      <c r="A609"/>
      <c r="B609"/>
      <c r="C609"/>
      <c r="D609"/>
      <c r="E609"/>
      <c r="F609"/>
      <c r="G609"/>
      <c r="H609"/>
      <c r="I609"/>
      <c r="J609"/>
      <c r="K609"/>
      <c r="L609"/>
    </row>
    <row r="610" spans="1:12" customHeight="1" ht="11.25">
      <c r="A610"/>
      <c r="B610"/>
      <c r="C610"/>
      <c r="D610"/>
      <c r="E610"/>
      <c r="F610"/>
      <c r="G610"/>
      <c r="H610"/>
      <c r="I610"/>
      <c r="J610"/>
      <c r="K610"/>
      <c r="L610"/>
    </row>
    <row r="611" spans="1:12" customHeight="1" ht="11.25">
      <c r="A611"/>
      <c r="B611"/>
      <c r="C611"/>
      <c r="D611"/>
      <c r="E611"/>
      <c r="F611"/>
      <c r="G611"/>
      <c r="H611"/>
      <c r="I611"/>
      <c r="J611"/>
      <c r="K611"/>
      <c r="L611"/>
    </row>
    <row r="612" spans="1:12" customHeight="1" ht="11.25">
      <c r="A612"/>
      <c r="B612"/>
      <c r="C612"/>
      <c r="D612"/>
      <c r="E612"/>
      <c r="F612"/>
      <c r="G612"/>
      <c r="H612"/>
      <c r="I612"/>
      <c r="J612"/>
      <c r="K612"/>
      <c r="L612"/>
    </row>
    <row r="613" spans="1:12" customHeight="1" ht="11.25">
      <c r="A613"/>
      <c r="B613"/>
      <c r="C613"/>
      <c r="D613"/>
      <c r="E613"/>
      <c r="F613"/>
      <c r="G613"/>
      <c r="H613"/>
      <c r="I613"/>
      <c r="J613"/>
      <c r="K613"/>
      <c r="L613"/>
    </row>
    <row r="614" spans="1:12" customHeight="1" ht="11.25">
      <c r="A614"/>
      <c r="B614"/>
      <c r="C614"/>
      <c r="D614"/>
      <c r="E614"/>
      <c r="F614"/>
      <c r="G614"/>
      <c r="H614"/>
      <c r="I614"/>
      <c r="J614"/>
      <c r="K614"/>
      <c r="L614"/>
    </row>
    <row r="615" spans="1:12" customHeight="1" ht="11.25">
      <c r="A615"/>
      <c r="B615"/>
      <c r="C615"/>
      <c r="D615"/>
      <c r="E615"/>
      <c r="F615"/>
      <c r="G615"/>
      <c r="H615"/>
      <c r="I615"/>
      <c r="J615"/>
      <c r="K615"/>
      <c r="L615"/>
    </row>
    <row r="616" spans="1:12" customHeight="1" ht="11.25">
      <c r="A616"/>
      <c r="B616"/>
      <c r="C616"/>
      <c r="D616"/>
      <c r="E616"/>
      <c r="F616"/>
      <c r="G616"/>
      <c r="H616"/>
      <c r="I616"/>
      <c r="J616"/>
      <c r="K616"/>
      <c r="L616"/>
    </row>
    <row r="617" spans="1:12" customHeight="1" ht="11.25">
      <c r="A617"/>
      <c r="B617"/>
      <c r="C617"/>
      <c r="D617"/>
      <c r="E617"/>
      <c r="F617"/>
      <c r="G617"/>
      <c r="H617"/>
      <c r="I617"/>
      <c r="J617"/>
      <c r="K617"/>
      <c r="L617"/>
    </row>
    <row r="618" spans="1:12" customHeight="1" ht="11.25">
      <c r="A618"/>
      <c r="B618"/>
      <c r="C618"/>
      <c r="D618"/>
      <c r="E618"/>
      <c r="F618"/>
      <c r="G618"/>
      <c r="H618"/>
      <c r="I618"/>
      <c r="J618"/>
      <c r="K618"/>
      <c r="L618"/>
    </row>
    <row r="619" spans="1:12" customHeight="1" ht="11.25">
      <c r="A619"/>
      <c r="B619"/>
      <c r="C619"/>
      <c r="D619"/>
      <c r="E619"/>
      <c r="F619"/>
      <c r="G619"/>
      <c r="H619"/>
      <c r="I619"/>
      <c r="J619"/>
      <c r="K619"/>
      <c r="L619"/>
    </row>
    <row r="620" spans="1:12" customHeight="1" ht="11.25">
      <c r="A620"/>
      <c r="B620"/>
      <c r="C620"/>
      <c r="D620"/>
      <c r="E620"/>
      <c r="F620"/>
      <c r="G620"/>
      <c r="H620"/>
      <c r="I620"/>
      <c r="J620"/>
      <c r="K620"/>
      <c r="L620"/>
    </row>
    <row r="621" spans="1:12" customHeight="1" ht="11.25">
      <c r="A621"/>
      <c r="B621"/>
      <c r="C621"/>
      <c r="D621"/>
      <c r="E621"/>
      <c r="F621"/>
      <c r="G621"/>
      <c r="H621"/>
      <c r="I621"/>
      <c r="J621"/>
      <c r="K621"/>
      <c r="L621"/>
    </row>
    <row r="622" spans="1:12" customHeight="1" ht="11.25">
      <c r="A622"/>
      <c r="B622"/>
      <c r="C622"/>
      <c r="D622"/>
      <c r="E622"/>
      <c r="F622"/>
      <c r="G622"/>
      <c r="H622"/>
      <c r="I622"/>
      <c r="J622"/>
      <c r="K622"/>
      <c r="L622"/>
    </row>
    <row r="623" spans="1:12" customHeight="1" ht="11.25">
      <c r="A623"/>
      <c r="B623"/>
      <c r="C623"/>
      <c r="D623"/>
      <c r="E623"/>
      <c r="F623"/>
      <c r="G623"/>
      <c r="H623"/>
      <c r="I623"/>
      <c r="J623"/>
      <c r="K623"/>
      <c r="L623"/>
    </row>
    <row r="624" spans="1:12" customHeight="1" ht="11.25">
      <c r="A624"/>
      <c r="B624"/>
      <c r="C624"/>
      <c r="D624"/>
      <c r="E624"/>
      <c r="F624"/>
      <c r="G624"/>
      <c r="H624"/>
      <c r="I624"/>
      <c r="J624"/>
      <c r="K624"/>
      <c r="L624"/>
    </row>
    <row r="625" spans="1:12" customHeight="1" ht="11.25">
      <c r="A625"/>
      <c r="B625"/>
      <c r="C625"/>
      <c r="D625"/>
      <c r="E625"/>
      <c r="F625"/>
      <c r="G625"/>
      <c r="H625"/>
      <c r="I625"/>
      <c r="J625"/>
      <c r="K625"/>
      <c r="L625"/>
    </row>
    <row r="626" spans="1:12" customHeight="1" ht="11.25">
      <c r="A626"/>
      <c r="B626"/>
      <c r="C626"/>
      <c r="D626"/>
      <c r="E626"/>
      <c r="F626"/>
      <c r="G626"/>
      <c r="H626"/>
      <c r="I626"/>
      <c r="J626"/>
      <c r="K626"/>
      <c r="L626"/>
    </row>
    <row r="627" spans="1:12" customHeight="1" ht="11.25">
      <c r="A627"/>
      <c r="B627"/>
      <c r="C627"/>
      <c r="D627"/>
      <c r="E627"/>
      <c r="F627"/>
      <c r="G627"/>
      <c r="H627"/>
      <c r="I627"/>
      <c r="J627"/>
      <c r="K627"/>
      <c r="L627"/>
    </row>
    <row r="628" spans="1:12" customHeight="1" ht="11.25">
      <c r="A628"/>
      <c r="B628"/>
      <c r="C628"/>
      <c r="D628"/>
      <c r="E628"/>
      <c r="F628"/>
      <c r="G628"/>
      <c r="H628"/>
      <c r="I628"/>
      <c r="J628"/>
      <c r="K628"/>
      <c r="L628"/>
    </row>
    <row r="629" spans="1:12" customHeight="1" ht="11.25">
      <c r="A629"/>
      <c r="B629"/>
      <c r="C629"/>
      <c r="D629"/>
      <c r="E629"/>
      <c r="F629"/>
      <c r="G629"/>
      <c r="H629"/>
      <c r="I629"/>
      <c r="J629"/>
      <c r="K629"/>
      <c r="L629"/>
    </row>
    <row r="630" spans="1:12" customHeight="1" ht="11.25">
      <c r="A630"/>
      <c r="B630"/>
      <c r="C630"/>
      <c r="D630"/>
      <c r="E630"/>
      <c r="F630"/>
      <c r="G630"/>
      <c r="H630"/>
      <c r="I630"/>
      <c r="J630"/>
      <c r="K630"/>
      <c r="L630"/>
    </row>
    <row r="631" spans="1:12" customHeight="1" ht="11.25">
      <c r="A631"/>
      <c r="B631"/>
      <c r="C631"/>
      <c r="D631"/>
      <c r="E631"/>
      <c r="F631"/>
      <c r="G631"/>
      <c r="H631"/>
      <c r="I631"/>
      <c r="J631"/>
      <c r="K631"/>
      <c r="L631"/>
    </row>
    <row r="632" spans="1:12" customHeight="1" ht="11.25">
      <c r="A632"/>
      <c r="B632"/>
      <c r="C632"/>
      <c r="D632"/>
      <c r="E632"/>
      <c r="F632"/>
      <c r="G632"/>
      <c r="H632"/>
      <c r="I632"/>
      <c r="J632"/>
      <c r="K632"/>
      <c r="L632"/>
    </row>
    <row r="633" spans="1:12" customHeight="1" ht="11.25">
      <c r="A633"/>
      <c r="B633"/>
      <c r="C633"/>
      <c r="D633"/>
      <c r="E633"/>
      <c r="F633"/>
      <c r="G633"/>
      <c r="H633"/>
      <c r="I633"/>
      <c r="J633"/>
      <c r="K633"/>
      <c r="L633"/>
    </row>
    <row r="634" spans="1:12" customHeight="1" ht="11.25">
      <c r="A634"/>
      <c r="B634"/>
      <c r="C634"/>
      <c r="D634"/>
      <c r="E634"/>
      <c r="F634"/>
      <c r="G634"/>
      <c r="H634"/>
      <c r="I634"/>
      <c r="J634"/>
      <c r="K634"/>
      <c r="L634"/>
    </row>
    <row r="635" spans="1:12" customHeight="1" ht="11.25">
      <c r="A635"/>
      <c r="B635"/>
      <c r="C635"/>
      <c r="D635"/>
      <c r="E635"/>
      <c r="F635"/>
      <c r="G635"/>
      <c r="H635"/>
      <c r="I635"/>
      <c r="J635"/>
      <c r="K635"/>
      <c r="L635"/>
    </row>
    <row r="636" spans="1:12" customHeight="1" ht="11.25">
      <c r="A636"/>
      <c r="B636"/>
      <c r="C636"/>
      <c r="D636"/>
      <c r="E636"/>
      <c r="F636"/>
      <c r="G636"/>
      <c r="H636"/>
      <c r="I636"/>
      <c r="J636"/>
      <c r="K636"/>
      <c r="L636"/>
    </row>
    <row r="637" spans="1:12" customHeight="1" ht="11.25">
      <c r="A637"/>
      <c r="B637"/>
      <c r="C637"/>
      <c r="D637"/>
      <c r="E637"/>
      <c r="F637"/>
      <c r="G637"/>
      <c r="H637"/>
      <c r="I637"/>
      <c r="J637"/>
      <c r="K637"/>
      <c r="L637"/>
    </row>
    <row r="638" spans="1:12" customHeight="1" ht="11.25">
      <c r="A638"/>
      <c r="B638"/>
      <c r="C638"/>
      <c r="D638"/>
      <c r="E638"/>
      <c r="F638"/>
      <c r="G638"/>
      <c r="H638"/>
      <c r="I638"/>
      <c r="J638"/>
      <c r="K638"/>
      <c r="L638"/>
    </row>
    <row r="639" spans="1:12" customHeight="1" ht="11.25">
      <c r="A639"/>
      <c r="B639"/>
      <c r="C639"/>
      <c r="D639"/>
      <c r="E639"/>
      <c r="F639"/>
      <c r="G639"/>
      <c r="H639"/>
      <c r="I639"/>
      <c r="J639"/>
      <c r="K639"/>
      <c r="L639"/>
    </row>
    <row r="640" spans="1:12" customHeight="1" ht="11.25">
      <c r="A640"/>
      <c r="B640"/>
      <c r="C640"/>
      <c r="D640"/>
      <c r="E640"/>
      <c r="F640"/>
      <c r="G640"/>
      <c r="H640"/>
      <c r="I640"/>
      <c r="J640"/>
      <c r="K640"/>
      <c r="L640"/>
    </row>
    <row r="641" spans="1:12" customHeight="1" ht="11.25">
      <c r="A641"/>
      <c r="B641"/>
      <c r="C641"/>
      <c r="D641"/>
      <c r="E641"/>
      <c r="F641"/>
      <c r="G641"/>
      <c r="H641"/>
      <c r="I641"/>
      <c r="J641"/>
      <c r="K641"/>
      <c r="L641"/>
    </row>
    <row r="642" spans="1:12" customHeight="1" ht="11.25">
      <c r="A642"/>
      <c r="B642"/>
      <c r="C642"/>
      <c r="D642"/>
      <c r="E642"/>
      <c r="F642"/>
      <c r="G642"/>
      <c r="H642"/>
      <c r="I642"/>
      <c r="J642"/>
      <c r="K642"/>
      <c r="L642"/>
    </row>
    <row r="643" spans="1:12" customHeight="1" ht="11.25">
      <c r="A643"/>
      <c r="B643"/>
      <c r="C643"/>
      <c r="D643"/>
      <c r="E643"/>
      <c r="F643"/>
      <c r="G643"/>
      <c r="H643"/>
      <c r="I643"/>
      <c r="J643"/>
      <c r="K643"/>
      <c r="L643"/>
    </row>
    <row r="644" spans="1:12" customHeight="1" ht="11.25">
      <c r="A644"/>
      <c r="B644"/>
      <c r="C644"/>
      <c r="D644"/>
      <c r="E644"/>
      <c r="F644"/>
      <c r="G644"/>
      <c r="H644"/>
      <c r="I644"/>
      <c r="J644"/>
      <c r="K644"/>
      <c r="L644"/>
    </row>
    <row r="645" spans="1:12" customHeight="1" ht="11.25">
      <c r="A645"/>
      <c r="B645"/>
      <c r="C645"/>
      <c r="D645"/>
      <c r="E645"/>
      <c r="F645"/>
      <c r="G645"/>
      <c r="H645"/>
      <c r="I645"/>
      <c r="J645"/>
      <c r="K645"/>
      <c r="L645"/>
    </row>
    <row r="646" spans="1:12" customHeight="1" ht="11.25">
      <c r="A646"/>
      <c r="B646"/>
      <c r="C646"/>
      <c r="D646"/>
      <c r="E646"/>
      <c r="F646"/>
      <c r="G646"/>
      <c r="H646"/>
      <c r="I646"/>
      <c r="J646"/>
      <c r="K646"/>
      <c r="L646"/>
    </row>
    <row r="647" spans="1:12" customHeight="1" ht="11.25">
      <c r="A647"/>
      <c r="B647"/>
      <c r="C647"/>
      <c r="D647"/>
      <c r="E647"/>
      <c r="F647"/>
      <c r="G647"/>
      <c r="H647"/>
      <c r="I647"/>
      <c r="J647"/>
      <c r="K647"/>
      <c r="L647"/>
    </row>
    <row r="648" spans="1:12" customHeight="1" ht="11.25">
      <c r="A648"/>
      <c r="B648"/>
      <c r="C648"/>
      <c r="D648"/>
      <c r="E648"/>
      <c r="F648"/>
      <c r="G648"/>
      <c r="H648"/>
      <c r="I648"/>
      <c r="J648"/>
      <c r="K648"/>
      <c r="L648"/>
    </row>
    <row r="649" spans="1:12" customHeight="1" ht="11.25">
      <c r="A649"/>
      <c r="B649"/>
      <c r="C649"/>
      <c r="D649"/>
      <c r="E649"/>
      <c r="F649"/>
      <c r="G649"/>
      <c r="H649"/>
      <c r="I649"/>
      <c r="J649"/>
      <c r="K649"/>
      <c r="L649"/>
    </row>
    <row r="650" spans="1:12" customHeight="1" ht="11.25">
      <c r="A650"/>
      <c r="B650"/>
      <c r="C650"/>
      <c r="D650"/>
      <c r="E650"/>
      <c r="F650"/>
      <c r="G650"/>
      <c r="H650"/>
      <c r="I650"/>
      <c r="J650"/>
      <c r="K650"/>
      <c r="L650"/>
    </row>
    <row r="651" spans="1:12" customHeight="1" ht="11.25">
      <c r="A651"/>
      <c r="B651"/>
      <c r="C651"/>
      <c r="D651"/>
      <c r="E651"/>
      <c r="F651"/>
      <c r="G651"/>
      <c r="H651"/>
      <c r="I651"/>
      <c r="J651"/>
      <c r="K651"/>
      <c r="L651"/>
    </row>
    <row r="652" spans="1:12" customHeight="1" ht="11.25">
      <c r="A652"/>
      <c r="B652"/>
      <c r="C652"/>
      <c r="D652"/>
      <c r="E652"/>
      <c r="F652"/>
      <c r="G652"/>
      <c r="H652"/>
      <c r="I652"/>
      <c r="J652"/>
      <c r="K652"/>
      <c r="L652"/>
    </row>
    <row r="653" spans="1:12" customHeight="1" ht="11.25">
      <c r="A653"/>
      <c r="B653"/>
      <c r="C653"/>
      <c r="D653"/>
      <c r="E653"/>
      <c r="F653"/>
      <c r="G653"/>
      <c r="H653"/>
      <c r="I653"/>
      <c r="J653"/>
      <c r="K653"/>
      <c r="L653"/>
    </row>
    <row r="654" spans="1:12" customHeight="1" ht="11.25">
      <c r="A654"/>
      <c r="B654"/>
      <c r="C654"/>
      <c r="D654"/>
      <c r="E654"/>
      <c r="F654"/>
      <c r="G654"/>
      <c r="H654"/>
      <c r="I654"/>
      <c r="J654"/>
      <c r="K654"/>
      <c r="L654"/>
    </row>
    <row r="655" spans="1:12" customHeight="1" ht="11.25">
      <c r="A655"/>
      <c r="B655"/>
      <c r="C655"/>
      <c r="D655"/>
      <c r="E655"/>
      <c r="F655"/>
      <c r="G655"/>
      <c r="H655"/>
      <c r="I655"/>
      <c r="J655"/>
      <c r="K655"/>
      <c r="L655"/>
    </row>
    <row r="656" spans="1:12" customHeight="1" ht="11.25">
      <c r="A656"/>
      <c r="B656"/>
      <c r="C656"/>
      <c r="D656"/>
      <c r="E656"/>
      <c r="F656"/>
      <c r="G656"/>
      <c r="H656"/>
      <c r="I656"/>
      <c r="J656"/>
      <c r="K656"/>
      <c r="L656"/>
    </row>
    <row r="657" spans="1:12" customHeight="1" ht="11.25">
      <c r="A657"/>
      <c r="B657"/>
      <c r="C657"/>
      <c r="D657"/>
      <c r="E657"/>
      <c r="F657"/>
      <c r="G657"/>
      <c r="H657"/>
      <c r="I657"/>
      <c r="J657"/>
      <c r="K657"/>
      <c r="L657"/>
    </row>
    <row r="658" spans="1:12" customHeight="1" ht="11.25">
      <c r="A658"/>
      <c r="B658"/>
      <c r="C658"/>
      <c r="D658"/>
      <c r="E658"/>
      <c r="F658"/>
      <c r="G658"/>
      <c r="H658"/>
      <c r="I658"/>
      <c r="J658"/>
      <c r="K658"/>
      <c r="L658"/>
    </row>
    <row r="659" spans="1:12" customHeight="1" ht="11.25">
      <c r="A659"/>
      <c r="B659"/>
      <c r="C659"/>
      <c r="D659"/>
      <c r="E659"/>
      <c r="F659"/>
      <c r="G659"/>
      <c r="H659"/>
      <c r="I659"/>
      <c r="J659"/>
      <c r="K659"/>
      <c r="L659"/>
    </row>
    <row r="660" spans="1:12" customHeight="1" ht="11.25">
      <c r="A660"/>
      <c r="B660"/>
      <c r="C660"/>
      <c r="D660"/>
      <c r="E660"/>
      <c r="F660"/>
      <c r="G660"/>
      <c r="H660"/>
      <c r="I660"/>
      <c r="J660"/>
      <c r="K660"/>
      <c r="L660"/>
    </row>
    <row r="661" spans="1:12" customHeight="1" ht="11.25">
      <c r="A661"/>
      <c r="B661"/>
      <c r="C661"/>
      <c r="D661"/>
      <c r="E661"/>
      <c r="F661"/>
      <c r="G661"/>
      <c r="H661"/>
      <c r="I661"/>
      <c r="J661"/>
      <c r="K661"/>
      <c r="L661"/>
    </row>
    <row r="662" spans="1:12" customHeight="1" ht="11.25">
      <c r="A662"/>
      <c r="B662"/>
      <c r="C662"/>
      <c r="D662"/>
      <c r="E662"/>
      <c r="F662"/>
      <c r="G662"/>
      <c r="H662"/>
      <c r="I662"/>
      <c r="J662"/>
      <c r="K662"/>
      <c r="L662"/>
    </row>
    <row r="663" spans="1:12" customHeight="1" ht="11.25">
      <c r="A663"/>
      <c r="B663"/>
      <c r="C663"/>
      <c r="D663"/>
      <c r="E663"/>
      <c r="F663"/>
      <c r="G663"/>
      <c r="H663"/>
      <c r="I663"/>
      <c r="J663"/>
      <c r="K663"/>
      <c r="L663"/>
    </row>
    <row r="664" spans="1:12" customHeight="1" ht="11.25">
      <c r="A664"/>
      <c r="B664"/>
      <c r="C664"/>
      <c r="D664"/>
      <c r="E664"/>
      <c r="F664"/>
      <c r="G664"/>
      <c r="H664"/>
      <c r="I664"/>
      <c r="J664"/>
      <c r="K664"/>
      <c r="L664"/>
    </row>
    <row r="665" spans="1:12" customHeight="1" ht="11.25">
      <c r="A665"/>
      <c r="B665"/>
      <c r="C665"/>
      <c r="D665"/>
      <c r="E665"/>
      <c r="F665"/>
      <c r="G665"/>
      <c r="H665"/>
      <c r="I665"/>
      <c r="J665"/>
      <c r="K665"/>
      <c r="L665"/>
    </row>
    <row r="666" spans="1:12" customHeight="1" ht="11.25">
      <c r="A666"/>
      <c r="B666"/>
      <c r="C666"/>
      <c r="D666"/>
      <c r="E666"/>
      <c r="F666"/>
      <c r="G666"/>
      <c r="H666"/>
      <c r="I666"/>
      <c r="J666"/>
      <c r="K666"/>
      <c r="L666"/>
    </row>
    <row r="667" spans="1:12" customHeight="1" ht="11.25">
      <c r="A667"/>
      <c r="B667"/>
      <c r="C667"/>
      <c r="D667"/>
      <c r="E667"/>
      <c r="F667"/>
      <c r="G667"/>
      <c r="H667"/>
      <c r="I667"/>
      <c r="J667"/>
      <c r="K667"/>
      <c r="L667"/>
    </row>
    <row r="668" spans="1:12" customHeight="1" ht="11.25">
      <c r="A668"/>
      <c r="B668"/>
      <c r="C668"/>
      <c r="D668"/>
      <c r="E668"/>
      <c r="F668"/>
      <c r="G668"/>
      <c r="H668"/>
      <c r="I668"/>
      <c r="J668"/>
      <c r="K668"/>
      <c r="L668"/>
    </row>
    <row r="669" spans="1:12" customHeight="1" ht="11.25">
      <c r="A669"/>
      <c r="B669"/>
      <c r="C669"/>
      <c r="D669"/>
      <c r="E669"/>
      <c r="F669"/>
      <c r="G669"/>
      <c r="H669"/>
      <c r="I669"/>
      <c r="J669"/>
      <c r="K669"/>
      <c r="L669"/>
    </row>
    <row r="670" spans="1:12" customHeight="1" ht="11.25">
      <c r="A670"/>
      <c r="B670"/>
      <c r="C670"/>
      <c r="D670"/>
      <c r="E670"/>
      <c r="F670"/>
      <c r="G670"/>
      <c r="H670"/>
      <c r="I670"/>
      <c r="J670"/>
      <c r="K670"/>
      <c r="L670"/>
    </row>
    <row r="671" spans="1:12" customHeight="1" ht="11.25">
      <c r="A671"/>
      <c r="B671"/>
      <c r="C671"/>
      <c r="D671"/>
      <c r="E671"/>
      <c r="F671"/>
      <c r="G671"/>
      <c r="H671"/>
      <c r="I671"/>
      <c r="J671"/>
      <c r="K671"/>
      <c r="L671"/>
    </row>
    <row r="672" spans="1:12" customHeight="1" ht="11.25">
      <c r="A672"/>
      <c r="B672"/>
      <c r="C672"/>
      <c r="D672"/>
      <c r="E672"/>
      <c r="F672"/>
      <c r="G672"/>
      <c r="H672"/>
      <c r="I672"/>
      <c r="J672"/>
      <c r="K672"/>
      <c r="L672"/>
    </row>
    <row r="673" spans="1:12" customHeight="1" ht="11.25">
      <c r="A673"/>
      <c r="B673"/>
      <c r="C673"/>
      <c r="D673"/>
      <c r="E673"/>
      <c r="F673"/>
      <c r="G673"/>
      <c r="H673"/>
      <c r="I673"/>
      <c r="J673"/>
      <c r="K673"/>
      <c r="L673"/>
    </row>
    <row r="674" spans="1:12" customHeight="1" ht="11.25">
      <c r="A674"/>
      <c r="B674"/>
      <c r="C674"/>
      <c r="D674"/>
      <c r="E674"/>
      <c r="F674"/>
      <c r="G674"/>
      <c r="H674"/>
      <c r="I674"/>
      <c r="J674"/>
      <c r="K674"/>
      <c r="L674"/>
    </row>
    <row r="675" spans="1:12" customHeight="1" ht="11.25">
      <c r="A675"/>
      <c r="B675"/>
      <c r="C675"/>
      <c r="D675"/>
      <c r="E675"/>
      <c r="F675"/>
      <c r="G675"/>
      <c r="H675"/>
      <c r="I675"/>
      <c r="J675"/>
      <c r="K675"/>
      <c r="L675"/>
    </row>
    <row r="676" spans="1:12" customHeight="1" ht="11.25">
      <c r="A676"/>
      <c r="B676"/>
      <c r="C676"/>
      <c r="D676"/>
      <c r="E676"/>
      <c r="F676"/>
      <c r="G676"/>
      <c r="H676"/>
      <c r="I676"/>
      <c r="J676"/>
      <c r="K676"/>
      <c r="L676"/>
    </row>
    <row r="677" spans="1:12" customHeight="1" ht="11.25">
      <c r="A677"/>
      <c r="B677"/>
      <c r="C677"/>
      <c r="D677"/>
      <c r="E677"/>
      <c r="F677"/>
      <c r="G677"/>
      <c r="H677"/>
      <c r="I677"/>
      <c r="J677"/>
      <c r="K677"/>
      <c r="L677"/>
    </row>
    <row r="678" spans="1:12" customHeight="1" ht="11.25">
      <c r="A678"/>
      <c r="B678"/>
      <c r="C678"/>
      <c r="D678"/>
      <c r="E678"/>
      <c r="F678"/>
      <c r="G678"/>
      <c r="H678"/>
      <c r="I678"/>
      <c r="J678"/>
      <c r="K678"/>
      <c r="L678"/>
    </row>
    <row r="679" spans="1:12" customHeight="1" ht="11.25">
      <c r="A679"/>
      <c r="B679"/>
      <c r="C679"/>
      <c r="D679"/>
      <c r="E679"/>
      <c r="F679"/>
      <c r="G679"/>
      <c r="H679"/>
      <c r="I679"/>
      <c r="J679"/>
      <c r="K679"/>
      <c r="L679"/>
    </row>
    <row r="680" spans="1:12" customHeight="1" ht="11.25">
      <c r="A680"/>
      <c r="B680"/>
      <c r="C680"/>
      <c r="D680"/>
      <c r="E680"/>
      <c r="F680"/>
      <c r="G680"/>
      <c r="H680"/>
      <c r="I680"/>
      <c r="J680"/>
      <c r="K680"/>
      <c r="L680"/>
    </row>
    <row r="681" spans="1:12" customHeight="1" ht="11.25">
      <c r="A681"/>
      <c r="B681"/>
      <c r="C681"/>
      <c r="D681"/>
      <c r="E681"/>
      <c r="F681"/>
      <c r="G681"/>
      <c r="H681"/>
      <c r="I681"/>
      <c r="J681"/>
      <c r="K681"/>
      <c r="L681"/>
    </row>
    <row r="682" spans="1:12" customHeight="1" ht="11.25">
      <c r="A682"/>
      <c r="B682"/>
      <c r="C682"/>
      <c r="D682"/>
      <c r="E682"/>
      <c r="F682"/>
      <c r="G682"/>
      <c r="H682"/>
      <c r="I682"/>
      <c r="J682"/>
      <c r="K682"/>
      <c r="L682"/>
    </row>
    <row r="683" spans="1:12" customHeight="1" ht="11.25">
      <c r="A683"/>
      <c r="B683"/>
      <c r="C683"/>
      <c r="D683"/>
      <c r="E683"/>
      <c r="F683"/>
      <c r="G683"/>
      <c r="H683"/>
      <c r="I683"/>
      <c r="J683"/>
      <c r="K683"/>
      <c r="L683"/>
    </row>
    <row r="684" spans="1:12" customHeight="1" ht="11.25">
      <c r="A684"/>
      <c r="B684"/>
      <c r="C684"/>
      <c r="D684"/>
      <c r="E684"/>
      <c r="F684"/>
      <c r="G684"/>
      <c r="H684"/>
      <c r="I684"/>
      <c r="J684"/>
      <c r="K684"/>
      <c r="L684"/>
    </row>
    <row r="685" spans="1:12" customHeight="1" ht="11.25">
      <c r="A685"/>
      <c r="B685"/>
      <c r="C685"/>
      <c r="D685"/>
      <c r="E685"/>
      <c r="F685"/>
      <c r="G685"/>
      <c r="H685"/>
      <c r="I685"/>
      <c r="J685"/>
      <c r="K685"/>
      <c r="L685"/>
    </row>
    <row r="686" spans="1:12" customHeight="1" ht="11.25">
      <c r="A686"/>
      <c r="B686"/>
      <c r="C686"/>
      <c r="D686"/>
      <c r="E686"/>
      <c r="F686"/>
      <c r="G686"/>
      <c r="H686"/>
      <c r="I686"/>
      <c r="J686"/>
      <c r="K686"/>
      <c r="L686"/>
    </row>
    <row r="687" spans="1:12" customHeight="1" ht="11.25">
      <c r="A687"/>
      <c r="B687"/>
      <c r="C687"/>
      <c r="D687"/>
      <c r="E687"/>
      <c r="F687"/>
      <c r="G687"/>
      <c r="H687"/>
      <c r="I687"/>
      <c r="J687"/>
      <c r="K687"/>
      <c r="L687"/>
    </row>
    <row r="688" spans="1:12" customHeight="1" ht="11.25">
      <c r="A688"/>
      <c r="B688"/>
      <c r="C688"/>
      <c r="D688"/>
      <c r="E688"/>
      <c r="F688"/>
      <c r="G688"/>
      <c r="H688"/>
      <c r="I688"/>
      <c r="J688"/>
      <c r="K688"/>
      <c r="L688"/>
    </row>
    <row r="689" spans="1:12" customHeight="1" ht="11.25">
      <c r="A689"/>
      <c r="B689"/>
      <c r="C689"/>
      <c r="D689"/>
      <c r="E689"/>
      <c r="F689"/>
      <c r="G689"/>
      <c r="H689"/>
      <c r="I689"/>
      <c r="J689"/>
      <c r="K689"/>
      <c r="L689"/>
    </row>
    <row r="690" spans="1:12" customHeight="1" ht="11.25">
      <c r="A690"/>
      <c r="B690"/>
      <c r="C690"/>
      <c r="D690"/>
      <c r="E690"/>
      <c r="F690"/>
      <c r="G690"/>
      <c r="H690"/>
      <c r="I690"/>
      <c r="J690"/>
      <c r="K690"/>
      <c r="L690"/>
    </row>
    <row r="691" spans="1:12" customHeight="1" ht="11.25">
      <c r="A691"/>
      <c r="B691"/>
      <c r="C691"/>
      <c r="D691"/>
      <c r="E691"/>
      <c r="F691"/>
      <c r="G691"/>
      <c r="H691"/>
      <c r="I691"/>
      <c r="J691"/>
      <c r="K691"/>
      <c r="L691"/>
    </row>
    <row r="692" spans="1:12" customHeight="1" ht="11.25">
      <c r="A692"/>
      <c r="B692"/>
      <c r="C692"/>
      <c r="D692"/>
      <c r="E692"/>
      <c r="F692"/>
      <c r="G692"/>
      <c r="H692"/>
      <c r="I692"/>
      <c r="J692"/>
      <c r="K692"/>
      <c r="L692"/>
    </row>
    <row r="693" spans="1:12" customHeight="1" ht="11.25">
      <c r="A693"/>
      <c r="B693"/>
      <c r="C693"/>
      <c r="D693"/>
      <c r="E693"/>
      <c r="F693"/>
      <c r="G693"/>
      <c r="H693"/>
      <c r="I693"/>
      <c r="J693"/>
      <c r="K693"/>
      <c r="L693"/>
    </row>
    <row r="694" spans="1:12" customHeight="1" ht="11.25">
      <c r="A694"/>
      <c r="B694"/>
      <c r="C694"/>
      <c r="D694"/>
      <c r="E694"/>
      <c r="F694"/>
      <c r="G694"/>
      <c r="H694"/>
      <c r="I694"/>
      <c r="J694"/>
      <c r="K694"/>
      <c r="L694"/>
    </row>
    <row r="695" spans="1:12" customHeight="1" ht="11.25">
      <c r="A695"/>
      <c r="B695"/>
      <c r="C695"/>
      <c r="D695"/>
      <c r="E695"/>
      <c r="F695"/>
      <c r="G695"/>
      <c r="H695"/>
      <c r="I695"/>
      <c r="J695"/>
      <c r="K695"/>
      <c r="L695"/>
    </row>
    <row r="696" spans="1:12" customHeight="1" ht="11.25">
      <c r="A696"/>
      <c r="B696"/>
      <c r="C696"/>
      <c r="D696"/>
      <c r="E696"/>
      <c r="F696"/>
      <c r="G696"/>
      <c r="H696"/>
      <c r="I696"/>
      <c r="J696"/>
      <c r="K696"/>
      <c r="L696"/>
    </row>
    <row r="697" spans="1:12" customHeight="1" ht="11.25">
      <c r="A697"/>
      <c r="B697"/>
      <c r="C697"/>
      <c r="D697"/>
      <c r="E697"/>
      <c r="F697"/>
      <c r="G697"/>
      <c r="H697"/>
      <c r="I697"/>
      <c r="J697"/>
      <c r="K697"/>
      <c r="L697"/>
    </row>
    <row r="698" spans="1:12" customHeight="1" ht="11.25">
      <c r="A698"/>
      <c r="B698"/>
      <c r="C698"/>
      <c r="D698"/>
      <c r="E698"/>
      <c r="F698"/>
      <c r="G698"/>
      <c r="H698"/>
      <c r="I698"/>
      <c r="J698"/>
      <c r="K698"/>
      <c r="L698"/>
    </row>
    <row r="699" spans="1:12" customHeight="1" ht="11.25">
      <c r="A699"/>
      <c r="B699"/>
      <c r="C699"/>
      <c r="D699"/>
      <c r="E699"/>
      <c r="F699"/>
      <c r="G699"/>
      <c r="H699"/>
      <c r="I699"/>
      <c r="J699"/>
      <c r="K699"/>
      <c r="L699"/>
    </row>
    <row r="700" spans="1:12" customHeight="1" ht="11.25">
      <c r="A700"/>
      <c r="B700"/>
      <c r="C700"/>
      <c r="D700"/>
      <c r="E700"/>
      <c r="F700"/>
      <c r="G700"/>
      <c r="H700"/>
      <c r="I700"/>
      <c r="J700"/>
      <c r="K700"/>
      <c r="L700"/>
    </row>
    <row r="701" spans="1:12" customHeight="1" ht="11.25">
      <c r="A701"/>
      <c r="B701"/>
      <c r="C701"/>
      <c r="D701"/>
      <c r="E701"/>
      <c r="F701"/>
      <c r="G701"/>
      <c r="H701"/>
      <c r="I701"/>
      <c r="J701"/>
      <c r="K701"/>
      <c r="L701"/>
    </row>
    <row r="702" spans="1:12" customHeight="1" ht="11.25">
      <c r="A702"/>
      <c r="B702"/>
      <c r="C702"/>
      <c r="D702"/>
      <c r="E702"/>
      <c r="F702"/>
      <c r="G702"/>
      <c r="H702"/>
      <c r="I702"/>
      <c r="J702"/>
      <c r="K702"/>
      <c r="L702"/>
    </row>
    <row r="703" spans="1:12" customHeight="1" ht="11.25">
      <c r="A703"/>
      <c r="B703"/>
      <c r="C703"/>
      <c r="D703"/>
      <c r="E703"/>
      <c r="F703"/>
      <c r="G703"/>
      <c r="H703"/>
      <c r="I703"/>
      <c r="J703"/>
      <c r="K703"/>
      <c r="L703"/>
    </row>
    <row r="704" spans="1:12" customHeight="1" ht="11.25">
      <c r="A704"/>
      <c r="B704"/>
      <c r="C704"/>
      <c r="D704"/>
      <c r="E704"/>
      <c r="F704"/>
      <c r="G704"/>
      <c r="H704"/>
      <c r="I704"/>
      <c r="J704"/>
      <c r="K704"/>
      <c r="L704"/>
    </row>
    <row r="705" spans="1:12" customHeight="1" ht="11.25">
      <c r="A705"/>
      <c r="B705"/>
      <c r="C705"/>
      <c r="D705"/>
      <c r="E705"/>
      <c r="F705"/>
      <c r="G705"/>
      <c r="H705"/>
      <c r="I705"/>
      <c r="J705"/>
      <c r="K705"/>
      <c r="L705"/>
    </row>
    <row r="706" spans="1:12" customHeight="1" ht="11.25">
      <c r="A706"/>
      <c r="B706"/>
      <c r="C706"/>
      <c r="D706"/>
      <c r="E706"/>
      <c r="F706"/>
      <c r="G706"/>
      <c r="H706"/>
      <c r="I706"/>
      <c r="J706"/>
      <c r="K706"/>
      <c r="L706"/>
    </row>
    <row r="707" spans="1:12" customHeight="1" ht="11.25">
      <c r="A707"/>
      <c r="B707"/>
      <c r="C707"/>
      <c r="D707"/>
      <c r="E707"/>
      <c r="F707"/>
      <c r="G707"/>
      <c r="H707"/>
      <c r="I707"/>
      <c r="J707"/>
      <c r="K707"/>
      <c r="L707"/>
    </row>
    <row r="708" spans="1:12" customHeight="1" ht="11.25">
      <c r="A708"/>
      <c r="B708"/>
      <c r="C708"/>
      <c r="D708"/>
      <c r="E708"/>
      <c r="F708"/>
      <c r="G708"/>
      <c r="H708"/>
      <c r="I708"/>
      <c r="J708"/>
      <c r="K708"/>
      <c r="L708"/>
    </row>
    <row r="709" spans="1:12" customHeight="1" ht="11.25">
      <c r="A709"/>
      <c r="B709"/>
      <c r="C709"/>
      <c r="D709"/>
      <c r="E709"/>
      <c r="F709"/>
      <c r="G709"/>
      <c r="H709"/>
      <c r="I709"/>
      <c r="J709"/>
      <c r="K709"/>
      <c r="L709"/>
    </row>
    <row r="710" spans="1:12" customHeight="1" ht="11.25">
      <c r="A710"/>
      <c r="B710"/>
      <c r="C710"/>
      <c r="D710"/>
      <c r="E710"/>
      <c r="F710"/>
      <c r="G710"/>
      <c r="H710"/>
      <c r="I710"/>
      <c r="J710"/>
      <c r="K710"/>
      <c r="L710"/>
    </row>
    <row r="711" spans="1:12" customHeight="1" ht="11.25">
      <c r="A711"/>
      <c r="B711"/>
      <c r="C711"/>
      <c r="D711"/>
      <c r="E711"/>
      <c r="F711"/>
      <c r="G711"/>
      <c r="H711"/>
      <c r="I711"/>
      <c r="J711"/>
      <c r="K711"/>
      <c r="L711"/>
    </row>
    <row r="712" spans="1:12" customHeight="1" ht="11.25">
      <c r="A712"/>
      <c r="B712"/>
      <c r="C712"/>
      <c r="D712"/>
      <c r="E712"/>
      <c r="F712"/>
      <c r="G712"/>
      <c r="H712"/>
      <c r="I712"/>
      <c r="J712"/>
      <c r="K712"/>
      <c r="L712"/>
    </row>
    <row r="713" spans="1:12" customHeight="1" ht="11.25">
      <c r="A713"/>
      <c r="B713"/>
      <c r="C713"/>
      <c r="D713"/>
      <c r="E713"/>
      <c r="F713"/>
      <c r="G713"/>
      <c r="H713"/>
      <c r="I713"/>
      <c r="J713"/>
      <c r="K713"/>
      <c r="L713"/>
    </row>
    <row r="714" spans="1:12" customHeight="1" ht="11.25">
      <c r="A714"/>
      <c r="B714"/>
      <c r="C714"/>
      <c r="D714"/>
      <c r="E714"/>
      <c r="F714"/>
      <c r="G714"/>
      <c r="H714"/>
      <c r="I714"/>
      <c r="J714"/>
      <c r="K714"/>
      <c r="L714"/>
    </row>
    <row r="715" spans="1:12" customHeight="1" ht="11.25">
      <c r="A715"/>
      <c r="B715"/>
      <c r="C715"/>
      <c r="D715"/>
      <c r="E715"/>
      <c r="F715"/>
      <c r="G715"/>
      <c r="H715"/>
      <c r="I715"/>
      <c r="J715"/>
      <c r="K715"/>
      <c r="L715"/>
    </row>
    <row r="716" spans="1:12" customHeight="1" ht="11.25">
      <c r="A716"/>
      <c r="B716"/>
      <c r="C716"/>
      <c r="D716"/>
      <c r="E716"/>
      <c r="F716"/>
      <c r="G716"/>
      <c r="H716"/>
      <c r="I716"/>
      <c r="J716"/>
      <c r="K716"/>
      <c r="L716"/>
    </row>
    <row r="717" spans="1:12" customHeight="1" ht="11.25">
      <c r="A717"/>
      <c r="B717"/>
      <c r="C717"/>
      <c r="D717"/>
      <c r="E717"/>
      <c r="F717"/>
      <c r="G717"/>
      <c r="H717"/>
      <c r="I717"/>
      <c r="J717"/>
      <c r="K717"/>
      <c r="L717"/>
    </row>
    <row r="718" spans="1:12" customHeight="1" ht="11.25">
      <c r="A718"/>
      <c r="B718"/>
      <c r="C718"/>
      <c r="D718"/>
      <c r="E718"/>
      <c r="F718"/>
      <c r="G718"/>
      <c r="H718"/>
      <c r="I718"/>
      <c r="J718"/>
      <c r="K718"/>
      <c r="L718"/>
    </row>
    <row r="719" spans="1:12" customHeight="1" ht="11.25">
      <c r="A719"/>
      <c r="B719"/>
      <c r="C719"/>
      <c r="D719"/>
      <c r="E719"/>
      <c r="F719"/>
      <c r="G719"/>
      <c r="H719"/>
      <c r="I719"/>
      <c r="J719"/>
      <c r="K719"/>
      <c r="L719"/>
    </row>
    <row r="720" spans="1:12" customHeight="1" ht="11.25">
      <c r="A720"/>
      <c r="B720"/>
      <c r="C720"/>
      <c r="D720"/>
      <c r="E720"/>
      <c r="F720"/>
      <c r="G720"/>
      <c r="H720"/>
      <c r="I720"/>
      <c r="J720"/>
      <c r="K720"/>
      <c r="L720"/>
    </row>
    <row r="721" spans="1:12" customHeight="1" ht="11.25">
      <c r="A721"/>
      <c r="B721"/>
      <c r="C721"/>
      <c r="D721"/>
      <c r="E721"/>
      <c r="F721"/>
      <c r="G721"/>
      <c r="H721"/>
      <c r="I721"/>
      <c r="J721"/>
      <c r="K721"/>
      <c r="L721"/>
    </row>
    <row r="722" spans="1:12" customHeight="1" ht="11.25">
      <c r="A722"/>
      <c r="B722"/>
      <c r="C722"/>
      <c r="D722"/>
      <c r="E722"/>
      <c r="F722"/>
      <c r="G722"/>
      <c r="H722"/>
      <c r="I722"/>
      <c r="J722"/>
      <c r="K722"/>
      <c r="L722"/>
    </row>
    <row r="723" spans="1:12" customHeight="1" ht="11.25">
      <c r="A723"/>
      <c r="B723"/>
      <c r="C723"/>
      <c r="D723"/>
      <c r="E723"/>
      <c r="F723"/>
      <c r="G723"/>
      <c r="H723"/>
      <c r="I723"/>
      <c r="J723"/>
      <c r="K723"/>
      <c r="L723"/>
    </row>
    <row r="724" spans="1:12" customHeight="1" ht="11.25">
      <c r="A724"/>
      <c r="B724"/>
      <c r="C724"/>
      <c r="D724"/>
      <c r="E724"/>
      <c r="F724"/>
      <c r="G724"/>
      <c r="H724"/>
      <c r="I724"/>
      <c r="J724"/>
      <c r="K724"/>
      <c r="L724"/>
    </row>
    <row r="725" spans="1:12" customHeight="1" ht="11.25">
      <c r="A725"/>
      <c r="B725"/>
      <c r="C725"/>
      <c r="D725"/>
      <c r="E725"/>
      <c r="F725"/>
      <c r="G725"/>
      <c r="H725"/>
      <c r="I725"/>
      <c r="J725"/>
      <c r="K725"/>
      <c r="L725"/>
    </row>
    <row r="726" spans="1:12" customHeight="1" ht="11.25">
      <c r="A726"/>
      <c r="B726"/>
      <c r="C726"/>
      <c r="D726"/>
      <c r="E726"/>
      <c r="F726"/>
      <c r="G726"/>
      <c r="H726"/>
      <c r="I726"/>
      <c r="J726"/>
      <c r="K726"/>
      <c r="L726"/>
    </row>
    <row r="727" spans="1:12" customHeight="1" ht="11.25">
      <c r="A727"/>
      <c r="B727"/>
      <c r="C727"/>
      <c r="D727"/>
      <c r="E727"/>
      <c r="F727"/>
      <c r="G727"/>
      <c r="H727"/>
      <c r="I727"/>
      <c r="J727"/>
      <c r="K727"/>
      <c r="L727"/>
    </row>
    <row r="728" spans="1:12" customHeight="1" ht="11.25">
      <c r="A728"/>
      <c r="B728"/>
      <c r="C728"/>
      <c r="D728"/>
      <c r="E728"/>
      <c r="F728"/>
      <c r="G728"/>
      <c r="H728"/>
      <c r="I728"/>
      <c r="J728"/>
      <c r="K728"/>
      <c r="L728"/>
    </row>
    <row r="729" spans="1:12" customHeight="1" ht="11.25">
      <c r="A729"/>
      <c r="B729"/>
      <c r="C729"/>
      <c r="D729"/>
      <c r="E729"/>
      <c r="F729"/>
      <c r="G729"/>
      <c r="H729"/>
      <c r="I729"/>
      <c r="J729"/>
      <c r="K729"/>
      <c r="L729"/>
    </row>
    <row r="730" spans="1:12" customHeight="1" ht="11.25">
      <c r="A730"/>
      <c r="B730"/>
      <c r="C730"/>
      <c r="D730"/>
      <c r="E730"/>
      <c r="F730"/>
      <c r="G730"/>
      <c r="H730"/>
      <c r="I730"/>
      <c r="J730"/>
      <c r="K730"/>
      <c r="L730"/>
    </row>
    <row r="731" spans="1:12" customHeight="1" ht="11.25">
      <c r="A731"/>
      <c r="B731"/>
      <c r="C731"/>
      <c r="D731"/>
      <c r="E731"/>
      <c r="F731"/>
      <c r="G731"/>
      <c r="H731"/>
      <c r="I731"/>
      <c r="J731"/>
      <c r="K731"/>
      <c r="L731"/>
    </row>
    <row r="732" spans="1:12" customHeight="1" ht="11.25">
      <c r="A732"/>
      <c r="B732"/>
      <c r="C732"/>
      <c r="D732"/>
      <c r="E732"/>
      <c r="F732"/>
      <c r="G732"/>
      <c r="H732"/>
      <c r="I732"/>
      <c r="J732"/>
      <c r="K732"/>
      <c r="L732"/>
    </row>
    <row r="733" spans="1:12" customHeight="1" ht="11.25">
      <c r="A733"/>
      <c r="B733"/>
      <c r="C733"/>
      <c r="D733"/>
      <c r="E733"/>
      <c r="F733"/>
      <c r="G733"/>
      <c r="H733"/>
      <c r="I733"/>
      <c r="J733"/>
      <c r="K733"/>
      <c r="L733"/>
    </row>
    <row r="734" spans="1:12" customHeight="1" ht="11.25">
      <c r="A734"/>
      <c r="B734"/>
      <c r="C734"/>
      <c r="D734"/>
      <c r="E734"/>
      <c r="F734"/>
      <c r="G734"/>
      <c r="H734"/>
      <c r="I734"/>
      <c r="J734"/>
      <c r="K734"/>
      <c r="L734"/>
    </row>
    <row r="735" spans="1:12" customHeight="1" ht="11.25">
      <c r="A735"/>
      <c r="B735"/>
      <c r="C735"/>
      <c r="D735"/>
      <c r="E735"/>
      <c r="F735"/>
      <c r="G735"/>
      <c r="H735"/>
      <c r="I735"/>
      <c r="J735"/>
      <c r="K735"/>
      <c r="L735"/>
    </row>
    <row r="736" spans="1:12" customHeight="1" ht="11.25">
      <c r="A736"/>
      <c r="B736"/>
      <c r="C736"/>
      <c r="D736"/>
      <c r="E736"/>
      <c r="F736"/>
      <c r="G736"/>
      <c r="H736"/>
      <c r="I736"/>
      <c r="J736"/>
      <c r="K736"/>
      <c r="L736"/>
    </row>
    <row r="737" spans="1:12" customHeight="1" ht="11.25">
      <c r="A737"/>
      <c r="B737"/>
      <c r="C737"/>
      <c r="D737"/>
      <c r="E737"/>
      <c r="F737"/>
      <c r="G737"/>
      <c r="H737"/>
      <c r="I737"/>
      <c r="J737"/>
      <c r="K737"/>
      <c r="L737"/>
    </row>
    <row r="738" spans="1:12" customHeight="1" ht="11.25">
      <c r="A738"/>
      <c r="B738"/>
      <c r="C738"/>
      <c r="D738"/>
      <c r="E738"/>
      <c r="F738"/>
      <c r="G738"/>
      <c r="H738"/>
      <c r="I738"/>
      <c r="J738"/>
      <c r="K738"/>
      <c r="L738"/>
    </row>
    <row r="739" spans="1:12" customHeight="1" ht="11.25">
      <c r="A739"/>
      <c r="B739"/>
      <c r="C739"/>
      <c r="D739"/>
      <c r="E739"/>
      <c r="F739"/>
      <c r="G739"/>
      <c r="H739"/>
      <c r="I739"/>
      <c r="J739"/>
      <c r="K739"/>
      <c r="L739"/>
    </row>
    <row r="740" spans="1:12" customHeight="1" ht="11.25">
      <c r="A740"/>
      <c r="B740"/>
      <c r="C740"/>
      <c r="D740"/>
      <c r="E740"/>
      <c r="F740"/>
      <c r="G740"/>
      <c r="H740"/>
      <c r="I740"/>
      <c r="J740"/>
      <c r="K740"/>
      <c r="L740"/>
    </row>
    <row r="741" spans="1:12" customHeight="1" ht="11.25">
      <c r="A741"/>
      <c r="B741"/>
      <c r="C741"/>
      <c r="D741"/>
      <c r="E741"/>
      <c r="F741"/>
      <c r="G741"/>
      <c r="H741"/>
      <c r="I741"/>
      <c r="J741"/>
      <c r="K741"/>
      <c r="L741"/>
    </row>
    <row r="742" spans="1:12" customHeight="1" ht="11.25">
      <c r="A742"/>
      <c r="B742"/>
      <c r="C742"/>
      <c r="D742"/>
      <c r="E742"/>
      <c r="F742"/>
      <c r="G742"/>
      <c r="H742"/>
      <c r="I742"/>
      <c r="J742"/>
      <c r="K742"/>
      <c r="L742"/>
    </row>
    <row r="743" spans="1:12" customHeight="1" ht="11.25">
      <c r="A743"/>
      <c r="B743"/>
      <c r="C743"/>
      <c r="D743"/>
      <c r="E743"/>
      <c r="F743"/>
      <c r="G743"/>
      <c r="H743"/>
      <c r="I743"/>
      <c r="J743"/>
      <c r="K743"/>
      <c r="L743"/>
    </row>
    <row r="744" spans="1:12" customHeight="1" ht="11.25">
      <c r="A744"/>
      <c r="B744"/>
      <c r="C744"/>
      <c r="D744"/>
      <c r="E744"/>
      <c r="F744"/>
      <c r="G744"/>
      <c r="H744"/>
      <c r="I744"/>
      <c r="J744"/>
      <c r="K744"/>
      <c r="L744"/>
    </row>
    <row r="745" spans="1:12" customHeight="1" ht="11.25">
      <c r="A745"/>
      <c r="B745"/>
      <c r="C745"/>
      <c r="D745"/>
      <c r="E745"/>
      <c r="F745"/>
      <c r="G745"/>
      <c r="H745"/>
      <c r="I745"/>
      <c r="J745"/>
      <c r="K745"/>
      <c r="L745"/>
    </row>
    <row r="746" spans="1:12" customHeight="1" ht="11.25">
      <c r="A746"/>
      <c r="B746"/>
      <c r="C746"/>
      <c r="D746"/>
      <c r="E746"/>
      <c r="F746"/>
      <c r="G746"/>
      <c r="H746"/>
      <c r="I746"/>
      <c r="J746"/>
      <c r="K746"/>
      <c r="L746"/>
    </row>
    <row r="747" spans="1:12" customHeight="1" ht="11.25">
      <c r="A747"/>
      <c r="B747"/>
      <c r="C747"/>
      <c r="D747"/>
      <c r="E747"/>
      <c r="F747"/>
      <c r="G747"/>
      <c r="H747"/>
      <c r="I747"/>
      <c r="J747"/>
      <c r="K747"/>
      <c r="L747"/>
    </row>
    <row r="748" spans="1:12" customHeight="1" ht="11.25">
      <c r="A748"/>
      <c r="B748"/>
      <c r="C748"/>
      <c r="D748"/>
      <c r="E748"/>
      <c r="F748"/>
      <c r="G748"/>
      <c r="H748"/>
      <c r="I748"/>
      <c r="J748"/>
      <c r="K748"/>
      <c r="L748"/>
    </row>
    <row r="749" spans="1:12" customHeight="1" ht="11.25">
      <c r="A749"/>
      <c r="B749"/>
      <c r="C749"/>
      <c r="D749"/>
      <c r="E749"/>
      <c r="F749"/>
      <c r="G749"/>
      <c r="H749"/>
      <c r="I749"/>
      <c r="J749"/>
      <c r="K749"/>
      <c r="L749"/>
    </row>
    <row r="750" spans="1:12" customHeight="1" ht="11.25">
      <c r="A750"/>
      <c r="B750"/>
      <c r="C750"/>
      <c r="D750"/>
      <c r="E750"/>
      <c r="F750"/>
      <c r="G750"/>
      <c r="H750"/>
      <c r="I750"/>
      <c r="J750"/>
      <c r="K750"/>
      <c r="L750"/>
    </row>
    <row r="751" spans="1:12" customHeight="1" ht="11.25">
      <c r="A751"/>
      <c r="B751"/>
      <c r="C751"/>
      <c r="D751"/>
      <c r="E751"/>
      <c r="F751"/>
      <c r="G751"/>
      <c r="H751"/>
      <c r="I751"/>
      <c r="J751"/>
      <c r="K751"/>
      <c r="L751"/>
    </row>
    <row r="752" spans="1:12" customHeight="1" ht="11.25">
      <c r="A752"/>
      <c r="B752"/>
      <c r="C752"/>
      <c r="D752"/>
      <c r="E752"/>
      <c r="F752"/>
      <c r="G752"/>
      <c r="H752"/>
      <c r="I752"/>
      <c r="J752"/>
      <c r="K752"/>
      <c r="L752"/>
    </row>
    <row r="753" spans="1:12" customHeight="1" ht="11.25">
      <c r="A753"/>
      <c r="B753"/>
      <c r="C753"/>
      <c r="D753"/>
      <c r="E753"/>
      <c r="F753"/>
      <c r="G753"/>
      <c r="H753"/>
      <c r="I753"/>
      <c r="J753"/>
      <c r="K753"/>
      <c r="L753"/>
    </row>
    <row r="754" spans="1:12" customHeight="1" ht="11.25">
      <c r="A754"/>
      <c r="B754"/>
      <c r="C754"/>
      <c r="D754"/>
      <c r="E754"/>
      <c r="F754"/>
      <c r="G754"/>
      <c r="H754"/>
      <c r="I754"/>
      <c r="J754"/>
      <c r="K754"/>
      <c r="L754"/>
    </row>
    <row r="755" spans="1:12" customHeight="1" ht="11.25">
      <c r="A755"/>
      <c r="B755"/>
      <c r="C755"/>
      <c r="D755"/>
      <c r="E755"/>
      <c r="F755"/>
      <c r="G755"/>
      <c r="H755"/>
      <c r="I755"/>
      <c r="J755"/>
      <c r="K755"/>
      <c r="L755"/>
    </row>
    <row r="756" spans="1:12" customHeight="1" ht="11.25">
      <c r="A756"/>
      <c r="B756"/>
      <c r="C756"/>
      <c r="D756"/>
      <c r="E756"/>
      <c r="F756"/>
      <c r="G756"/>
      <c r="H756"/>
      <c r="I756"/>
      <c r="J756"/>
      <c r="K756"/>
      <c r="L756"/>
    </row>
    <row r="757" spans="1:12" customHeight="1" ht="11.25">
      <c r="A757"/>
      <c r="B757"/>
      <c r="C757"/>
      <c r="D757"/>
      <c r="E757"/>
      <c r="F757"/>
      <c r="G757"/>
      <c r="H757"/>
      <c r="I757"/>
      <c r="J757"/>
      <c r="K757"/>
      <c r="L757"/>
    </row>
    <row r="758" spans="1:12" customHeight="1" ht="11.25">
      <c r="A758"/>
      <c r="B758"/>
      <c r="C758"/>
      <c r="D758"/>
      <c r="E758"/>
      <c r="F758"/>
      <c r="G758"/>
      <c r="H758"/>
      <c r="I758"/>
      <c r="J758"/>
      <c r="K758"/>
      <c r="L758"/>
    </row>
    <row r="759" spans="1:12" customHeight="1" ht="11.25">
      <c r="A759"/>
      <c r="B759"/>
      <c r="C759"/>
      <c r="D759"/>
      <c r="E759"/>
      <c r="F759"/>
      <c r="G759"/>
      <c r="H759"/>
      <c r="I759"/>
      <c r="J759"/>
      <c r="K759"/>
      <c r="L759"/>
    </row>
    <row r="760" spans="1:12" customHeight="1" ht="11.25">
      <c r="A760"/>
      <c r="B760"/>
      <c r="C760"/>
      <c r="D760"/>
      <c r="E760"/>
      <c r="F760"/>
      <c r="G760"/>
      <c r="H760"/>
      <c r="I760"/>
      <c r="J760"/>
      <c r="K760"/>
      <c r="L760"/>
    </row>
    <row r="761" spans="1:12" customHeight="1" ht="11.25">
      <c r="A761"/>
      <c r="B761"/>
      <c r="C761"/>
      <c r="D761"/>
      <c r="E761"/>
      <c r="F761"/>
      <c r="G761"/>
      <c r="H761"/>
      <c r="I761"/>
      <c r="J761"/>
      <c r="K761"/>
      <c r="L761"/>
    </row>
    <row r="762" spans="1:12" customHeight="1" ht="11.25">
      <c r="A762"/>
      <c r="B762"/>
      <c r="C762"/>
      <c r="D762"/>
      <c r="E762"/>
      <c r="F762"/>
      <c r="G762"/>
      <c r="H762"/>
      <c r="I762"/>
      <c r="J762"/>
      <c r="K762"/>
      <c r="L762"/>
    </row>
    <row r="763" spans="1:12" customHeight="1" ht="11.25">
      <c r="A763"/>
      <c r="B763"/>
      <c r="C763"/>
      <c r="D763"/>
      <c r="E763"/>
      <c r="F763"/>
      <c r="G763"/>
      <c r="H763"/>
      <c r="I763"/>
      <c r="J763"/>
      <c r="K763"/>
      <c r="L763"/>
    </row>
    <row r="764" spans="1:12" customHeight="1" ht="11.25">
      <c r="A764"/>
      <c r="B764"/>
      <c r="C764"/>
      <c r="D764"/>
      <c r="E764"/>
      <c r="F764"/>
      <c r="G764"/>
      <c r="H764"/>
      <c r="I764"/>
      <c r="J764"/>
      <c r="K764"/>
      <c r="L764"/>
    </row>
    <row r="765" spans="1:12" customHeight="1" ht="11.25">
      <c r="A765"/>
      <c r="B765"/>
      <c r="C765"/>
      <c r="D765"/>
      <c r="E765"/>
      <c r="F765"/>
      <c r="G765"/>
      <c r="H765"/>
      <c r="I765"/>
      <c r="J765"/>
      <c r="K765"/>
      <c r="L765"/>
    </row>
    <row r="766" spans="1:12" customHeight="1" ht="11.25">
      <c r="A766"/>
      <c r="B766"/>
      <c r="C766"/>
      <c r="D766"/>
      <c r="E766"/>
      <c r="F766"/>
      <c r="G766"/>
      <c r="H766"/>
      <c r="I766"/>
      <c r="J766"/>
      <c r="K766"/>
      <c r="L766"/>
    </row>
    <row r="767" spans="1:12" customHeight="1" ht="11.25">
      <c r="A767"/>
      <c r="B767"/>
      <c r="C767"/>
      <c r="D767"/>
      <c r="E767"/>
      <c r="F767"/>
      <c r="G767"/>
      <c r="H767"/>
      <c r="I767"/>
      <c r="J767"/>
      <c r="K767"/>
      <c r="L767"/>
    </row>
    <row r="768" spans="1:12" customHeight="1" ht="11.25">
      <c r="A768"/>
      <c r="B768"/>
      <c r="C768"/>
      <c r="D768"/>
      <c r="E768"/>
      <c r="F768"/>
      <c r="G768"/>
      <c r="H768"/>
      <c r="I768"/>
      <c r="J768"/>
      <c r="K768"/>
      <c r="L768"/>
    </row>
    <row r="769" spans="1:12" customHeight="1" ht="11.25">
      <c r="A769"/>
      <c r="B769"/>
      <c r="C769"/>
      <c r="D769"/>
      <c r="E769"/>
      <c r="F769"/>
      <c r="G769"/>
      <c r="H769"/>
      <c r="I769"/>
      <c r="J769"/>
      <c r="K769"/>
      <c r="L769"/>
    </row>
    <row r="770" spans="1:12" customHeight="1" ht="11.25">
      <c r="A770"/>
      <c r="B770"/>
      <c r="C770"/>
      <c r="D770"/>
      <c r="E770"/>
      <c r="F770"/>
      <c r="G770"/>
      <c r="H770"/>
      <c r="I770"/>
      <c r="J770"/>
      <c r="K770"/>
      <c r="L770"/>
    </row>
    <row r="771" spans="1:12" customHeight="1" ht="11.25">
      <c r="A771"/>
      <c r="B771"/>
      <c r="C771"/>
      <c r="D771"/>
      <c r="E771"/>
      <c r="F771"/>
      <c r="G771"/>
      <c r="H771"/>
      <c r="I771"/>
      <c r="J771"/>
      <c r="K771"/>
      <c r="L771"/>
    </row>
    <row r="772" spans="1:12" customHeight="1" ht="11.25">
      <c r="A772"/>
      <c r="B772"/>
      <c r="C772"/>
      <c r="D772"/>
      <c r="E772"/>
      <c r="F772"/>
      <c r="G772"/>
      <c r="H772"/>
      <c r="I772"/>
      <c r="J772"/>
      <c r="K772"/>
      <c r="L772"/>
    </row>
    <row r="773" spans="1:12" customHeight="1" ht="11.25">
      <c r="A773"/>
      <c r="B773"/>
      <c r="C773"/>
      <c r="D773"/>
      <c r="E773"/>
      <c r="F773"/>
      <c r="G773"/>
      <c r="H773"/>
      <c r="I773"/>
      <c r="J773"/>
      <c r="K773"/>
      <c r="L773"/>
    </row>
    <row r="774" spans="1:12" customHeight="1" ht="11.25">
      <c r="A774"/>
      <c r="B774"/>
      <c r="C774"/>
      <c r="D774"/>
      <c r="E774"/>
      <c r="F774"/>
      <c r="G774"/>
      <c r="H774"/>
      <c r="I774"/>
      <c r="J774"/>
      <c r="K774"/>
      <c r="L774"/>
    </row>
    <row r="775" spans="1:12" customHeight="1" ht="11.25">
      <c r="A775"/>
      <c r="B775"/>
      <c r="C775"/>
      <c r="D775"/>
      <c r="E775"/>
      <c r="F775"/>
      <c r="G775"/>
      <c r="H775"/>
      <c r="I775"/>
      <c r="J775"/>
      <c r="K775"/>
      <c r="L775"/>
    </row>
    <row r="776" spans="1:12" customHeight="1" ht="11.25">
      <c r="A776"/>
      <c r="B776"/>
      <c r="C776"/>
      <c r="D776"/>
      <c r="E776"/>
      <c r="F776"/>
      <c r="G776"/>
      <c r="H776"/>
      <c r="I776"/>
      <c r="J776"/>
      <c r="K776"/>
      <c r="L776"/>
    </row>
    <row r="777" spans="1:12" customHeight="1" ht="11.25">
      <c r="A777"/>
      <c r="B777"/>
      <c r="C777"/>
      <c r="D777"/>
      <c r="E777"/>
      <c r="F777"/>
      <c r="G777"/>
      <c r="H777"/>
      <c r="I777"/>
      <c r="J777"/>
      <c r="K777"/>
      <c r="L777"/>
    </row>
    <row r="778" spans="1:12" customHeight="1" ht="11.25">
      <c r="A778"/>
      <c r="B778"/>
      <c r="C778"/>
      <c r="D778"/>
      <c r="E778"/>
      <c r="F778"/>
      <c r="G778"/>
      <c r="H778"/>
      <c r="I778"/>
      <c r="J778"/>
      <c r="K778"/>
      <c r="L778"/>
    </row>
    <row r="779" spans="1:12" customHeight="1" ht="11.25">
      <c r="A779"/>
      <c r="B779"/>
      <c r="C779"/>
      <c r="D779"/>
      <c r="E779"/>
      <c r="F779"/>
      <c r="G779"/>
      <c r="H779"/>
      <c r="I779"/>
      <c r="J779"/>
      <c r="K779"/>
      <c r="L779"/>
    </row>
    <row r="780" spans="1:12" customHeight="1" ht="11.25">
      <c r="A780"/>
      <c r="B780"/>
      <c r="C780"/>
      <c r="D780"/>
      <c r="E780"/>
      <c r="F780"/>
      <c r="G780"/>
      <c r="H780"/>
      <c r="I780"/>
      <c r="J780"/>
      <c r="K780"/>
      <c r="L780"/>
    </row>
    <row r="781" spans="1:12" customHeight="1" ht="11.25">
      <c r="A781"/>
      <c r="B781"/>
      <c r="C781"/>
      <c r="D781"/>
      <c r="E781"/>
      <c r="F781"/>
      <c r="G781"/>
      <c r="H781"/>
      <c r="I781"/>
      <c r="J781"/>
      <c r="K781"/>
      <c r="L781"/>
    </row>
    <row r="782" spans="1:12" customHeight="1" ht="11.25">
      <c r="A782"/>
      <c r="B782"/>
      <c r="C782"/>
      <c r="D782"/>
      <c r="E782"/>
      <c r="F782"/>
      <c r="G782"/>
      <c r="H782"/>
      <c r="I782"/>
      <c r="J782"/>
      <c r="K782"/>
      <c r="L782"/>
    </row>
    <row r="783" spans="1:12" customHeight="1" ht="11.25">
      <c r="A783"/>
      <c r="B783"/>
      <c r="C783"/>
      <c r="D783"/>
      <c r="E783"/>
      <c r="F783"/>
      <c r="G783"/>
      <c r="H783"/>
      <c r="I783"/>
      <c r="J783"/>
      <c r="K783"/>
      <c r="L783"/>
    </row>
    <row r="784" spans="1:12" customHeight="1" ht="11.25">
      <c r="A784"/>
      <c r="B784"/>
      <c r="C784"/>
      <c r="D784"/>
      <c r="E784"/>
      <c r="F784"/>
      <c r="G784"/>
      <c r="H784"/>
      <c r="I784"/>
      <c r="J784"/>
      <c r="K784"/>
      <c r="L784"/>
    </row>
    <row r="785" spans="1:12" customHeight="1" ht="11.25">
      <c r="A785"/>
      <c r="B785"/>
      <c r="C785"/>
      <c r="D785"/>
      <c r="E785"/>
      <c r="F785"/>
      <c r="G785"/>
      <c r="H785"/>
      <c r="I785"/>
      <c r="J785"/>
      <c r="K785"/>
      <c r="L785"/>
    </row>
    <row r="786" spans="1:12" customHeight="1" ht="11.25">
      <c r="A786"/>
      <c r="B786"/>
      <c r="C786"/>
      <c r="D786"/>
      <c r="E786"/>
      <c r="F786"/>
      <c r="G786"/>
      <c r="H786"/>
      <c r="I786"/>
      <c r="J786"/>
      <c r="K786"/>
      <c r="L786"/>
    </row>
    <row r="787" spans="1:12" customHeight="1" ht="11.25">
      <c r="A787"/>
      <c r="B787"/>
      <c r="C787"/>
      <c r="D787"/>
      <c r="E787"/>
      <c r="F787"/>
      <c r="G787"/>
      <c r="H787"/>
      <c r="I787"/>
      <c r="J787"/>
      <c r="K787"/>
      <c r="L787"/>
    </row>
    <row r="788" spans="1:12" customHeight="1" ht="11.25">
      <c r="A788"/>
      <c r="B788"/>
      <c r="C788"/>
      <c r="D788"/>
      <c r="E788"/>
      <c r="F788"/>
      <c r="G788"/>
      <c r="H788"/>
      <c r="I788"/>
      <c r="J788"/>
      <c r="K788"/>
      <c r="L788"/>
    </row>
    <row r="789" spans="1:12" customHeight="1" ht="11.25">
      <c r="A789"/>
      <c r="B789"/>
      <c r="C789"/>
      <c r="D789"/>
      <c r="E789"/>
      <c r="F789"/>
      <c r="G789"/>
      <c r="H789"/>
      <c r="I789"/>
      <c r="J789"/>
      <c r="K789"/>
      <c r="L789"/>
    </row>
    <row r="790" spans="1:12" customHeight="1" ht="11.25">
      <c r="A790"/>
      <c r="B790"/>
      <c r="C790"/>
      <c r="D790"/>
      <c r="E790"/>
      <c r="F790"/>
      <c r="G790"/>
      <c r="H790"/>
      <c r="I790"/>
      <c r="J790"/>
      <c r="K790"/>
      <c r="L790"/>
    </row>
    <row r="791" spans="1:12" customHeight="1" ht="11.25">
      <c r="A791"/>
      <c r="B791"/>
      <c r="C791"/>
      <c r="D791"/>
      <c r="E791"/>
      <c r="F791"/>
      <c r="G791"/>
      <c r="H791"/>
      <c r="I791"/>
      <c r="J791"/>
      <c r="K791"/>
      <c r="L791"/>
    </row>
    <row r="792" spans="1:12" customHeight="1" ht="11.25">
      <c r="A792"/>
      <c r="B792"/>
      <c r="C792"/>
      <c r="D792"/>
      <c r="E792"/>
      <c r="F792"/>
      <c r="G792"/>
      <c r="H792"/>
      <c r="I792"/>
      <c r="J792"/>
      <c r="K792"/>
      <c r="L792"/>
    </row>
    <row r="793" spans="1:12" customHeight="1" ht="11.25">
      <c r="A793"/>
      <c r="B793"/>
      <c r="C793"/>
      <c r="D793"/>
      <c r="E793"/>
      <c r="F793"/>
      <c r="G793"/>
      <c r="H793"/>
      <c r="I793"/>
      <c r="J793"/>
      <c r="K793"/>
      <c r="L793"/>
    </row>
    <row r="794" spans="1:12" customHeight="1" ht="11.25">
      <c r="A794"/>
      <c r="B794"/>
      <c r="C794"/>
      <c r="D794"/>
      <c r="E794"/>
      <c r="F794"/>
      <c r="G794"/>
      <c r="H794"/>
      <c r="I794"/>
      <c r="J794"/>
      <c r="K794"/>
      <c r="L794"/>
    </row>
    <row r="795" spans="1:12" customHeight="1" ht="11.25">
      <c r="A795"/>
      <c r="B795"/>
      <c r="C795"/>
      <c r="D795"/>
      <c r="E795"/>
      <c r="F795"/>
      <c r="G795"/>
      <c r="H795"/>
      <c r="I795"/>
      <c r="J795"/>
      <c r="K795"/>
      <c r="L795"/>
    </row>
    <row r="796" spans="1:12" customHeight="1" ht="11.25">
      <c r="A796"/>
      <c r="B796"/>
      <c r="C796"/>
      <c r="D796"/>
      <c r="E796"/>
      <c r="F796"/>
      <c r="G796"/>
      <c r="H796"/>
      <c r="I796"/>
      <c r="J796"/>
      <c r="K796"/>
      <c r="L796"/>
    </row>
    <row r="797" spans="1:12" customHeight="1" ht="11.25">
      <c r="A797"/>
      <c r="B797"/>
      <c r="C797"/>
      <c r="D797"/>
      <c r="E797"/>
      <c r="F797"/>
      <c r="G797"/>
      <c r="H797"/>
      <c r="I797"/>
      <c r="J797"/>
      <c r="K797"/>
      <c r="L797"/>
    </row>
    <row r="798" spans="1:12" customHeight="1" ht="11.25">
      <c r="A798"/>
      <c r="B798"/>
      <c r="C798"/>
      <c r="D798"/>
      <c r="E798"/>
      <c r="F798"/>
      <c r="G798"/>
      <c r="H798"/>
      <c r="I798"/>
      <c r="J798"/>
      <c r="K798"/>
      <c r="L798"/>
    </row>
    <row r="799" spans="1:12" customHeight="1" ht="11.25">
      <c r="A799"/>
      <c r="B799"/>
      <c r="C799"/>
      <c r="D799"/>
      <c r="E799"/>
      <c r="F799"/>
      <c r="G799"/>
      <c r="H799"/>
      <c r="I799"/>
      <c r="J799"/>
      <c r="K799"/>
      <c r="L799"/>
    </row>
    <row r="800" spans="1:12" customHeight="1" ht="11.25">
      <c r="A800"/>
      <c r="B800"/>
      <c r="C800"/>
      <c r="D800"/>
      <c r="E800"/>
      <c r="F800"/>
      <c r="G800"/>
      <c r="H800"/>
      <c r="I800"/>
      <c r="J800"/>
      <c r="K800"/>
      <c r="L800"/>
    </row>
    <row r="801" spans="1:12" customHeight="1" ht="11.25">
      <c r="A801"/>
      <c r="B801"/>
      <c r="C801"/>
      <c r="D801"/>
      <c r="E801"/>
      <c r="F801"/>
      <c r="G801"/>
      <c r="H801"/>
      <c r="I801"/>
      <c r="J801"/>
      <c r="K801"/>
      <c r="L801"/>
    </row>
    <row r="802" spans="1:12" customHeight="1" ht="11.25">
      <c r="A802"/>
      <c r="B802"/>
      <c r="C802"/>
      <c r="D802"/>
      <c r="E802"/>
      <c r="F802"/>
      <c r="G802"/>
      <c r="H802"/>
      <c r="I802"/>
      <c r="J802"/>
      <c r="K802"/>
      <c r="L802"/>
    </row>
    <row r="803" spans="1:12" customHeight="1" ht="11.25">
      <c r="A803"/>
      <c r="B803"/>
      <c r="C803"/>
      <c r="D803"/>
      <c r="E803"/>
      <c r="F803"/>
      <c r="G803"/>
      <c r="H803"/>
      <c r="I803"/>
      <c r="J803"/>
      <c r="K803"/>
      <c r="L803"/>
    </row>
    <row r="804" spans="1:12" customHeight="1" ht="11.25">
      <c r="A804"/>
      <c r="B804"/>
      <c r="C804"/>
      <c r="D804"/>
      <c r="E804"/>
      <c r="F804"/>
      <c r="G804"/>
      <c r="H804"/>
      <c r="I804"/>
      <c r="J804"/>
      <c r="K804"/>
      <c r="L804"/>
    </row>
    <row r="805" spans="1:12" customHeight="1" ht="11.25">
      <c r="A805"/>
      <c r="B805"/>
      <c r="C805"/>
      <c r="D805"/>
      <c r="E805"/>
      <c r="F805"/>
      <c r="G805"/>
      <c r="H805"/>
      <c r="I805"/>
      <c r="J805"/>
      <c r="K805"/>
      <c r="L805"/>
    </row>
    <row r="806" spans="1:12" customHeight="1" ht="11.25">
      <c r="A806"/>
      <c r="B806"/>
      <c r="C806"/>
      <c r="D806"/>
      <c r="E806"/>
      <c r="F806"/>
      <c r="G806"/>
      <c r="H806"/>
      <c r="I806"/>
      <c r="J806"/>
      <c r="K806"/>
      <c r="L806"/>
    </row>
    <row r="807" spans="1:12" customHeight="1" ht="11.25">
      <c r="A807"/>
      <c r="B807"/>
      <c r="C807"/>
      <c r="D807"/>
      <c r="E807"/>
      <c r="F807"/>
      <c r="G807"/>
      <c r="H807"/>
      <c r="I807"/>
      <c r="J807"/>
      <c r="K807"/>
      <c r="L807"/>
    </row>
    <row r="808" spans="1:12" customHeight="1" ht="11.25">
      <c r="A808"/>
      <c r="B808"/>
      <c r="C808"/>
      <c r="D808"/>
      <c r="E808"/>
      <c r="F808"/>
      <c r="G808"/>
      <c r="H808"/>
      <c r="I808"/>
      <c r="J808"/>
      <c r="K808"/>
      <c r="L808"/>
    </row>
    <row r="809" spans="1:12" customHeight="1" ht="11.25">
      <c r="A809"/>
      <c r="B809"/>
      <c r="C809"/>
      <c r="D809"/>
      <c r="E809"/>
      <c r="F809"/>
      <c r="G809"/>
      <c r="H809"/>
      <c r="I809"/>
      <c r="J809"/>
      <c r="K809"/>
      <c r="L809"/>
    </row>
    <row r="810" spans="1:12" customHeight="1" ht="11.25">
      <c r="A810"/>
      <c r="B810"/>
      <c r="C810"/>
      <c r="D810"/>
      <c r="E810"/>
      <c r="F810"/>
      <c r="G810"/>
      <c r="H810"/>
      <c r="I810"/>
      <c r="J810"/>
      <c r="K810"/>
      <c r="L810"/>
    </row>
    <row r="811" spans="1:12" customHeight="1" ht="11.25">
      <c r="A811"/>
      <c r="B811"/>
      <c r="C811"/>
      <c r="D811"/>
      <c r="E811"/>
      <c r="F811"/>
      <c r="G811"/>
      <c r="H811"/>
      <c r="I811"/>
      <c r="J811"/>
      <c r="K811"/>
      <c r="L811"/>
    </row>
    <row r="812" spans="1:12" customHeight="1" ht="11.25">
      <c r="A812"/>
      <c r="B812"/>
      <c r="C812"/>
      <c r="D812"/>
      <c r="E812"/>
      <c r="F812"/>
      <c r="G812"/>
      <c r="H812"/>
      <c r="I812"/>
      <c r="J812"/>
      <c r="K812"/>
      <c r="L812"/>
    </row>
    <row r="813" spans="1:12" customHeight="1" ht="11.25">
      <c r="A813"/>
      <c r="B813"/>
      <c r="C813"/>
      <c r="D813"/>
      <c r="E813"/>
      <c r="F813"/>
      <c r="G813"/>
      <c r="H813"/>
      <c r="I813"/>
      <c r="J813"/>
      <c r="K813"/>
      <c r="L813"/>
    </row>
    <row r="814" spans="1:12" customHeight="1" ht="11.25">
      <c r="A814"/>
      <c r="B814"/>
      <c r="C814"/>
      <c r="D814"/>
      <c r="E814"/>
      <c r="F814"/>
      <c r="G814"/>
      <c r="H814"/>
      <c r="I814"/>
      <c r="J814"/>
      <c r="K814"/>
      <c r="L814"/>
    </row>
    <row r="815" spans="1:12" customHeight="1" ht="11.25">
      <c r="A815"/>
      <c r="B815"/>
      <c r="C815"/>
      <c r="D815"/>
      <c r="E815"/>
      <c r="F815"/>
      <c r="G815"/>
      <c r="H815"/>
      <c r="I815"/>
      <c r="J815"/>
      <c r="K815"/>
      <c r="L815"/>
    </row>
    <row r="816" spans="1:12" customHeight="1" ht="11.25">
      <c r="A816"/>
      <c r="B816"/>
      <c r="C816"/>
      <c r="D816"/>
      <c r="E816"/>
      <c r="F816"/>
      <c r="G816"/>
      <c r="H816"/>
      <c r="I816"/>
      <c r="J816"/>
      <c r="K816"/>
      <c r="L816"/>
    </row>
    <row r="817" spans="1:12" customHeight="1" ht="11.25">
      <c r="A817"/>
      <c r="B817"/>
      <c r="C817"/>
      <c r="D817"/>
      <c r="E817"/>
      <c r="F817"/>
      <c r="G817"/>
      <c r="H817"/>
      <c r="I817"/>
      <c r="J817"/>
      <c r="K817"/>
      <c r="L817"/>
    </row>
    <row r="818" spans="1:12" customHeight="1" ht="11.25">
      <c r="A818"/>
      <c r="B818"/>
      <c r="C818"/>
      <c r="D818"/>
      <c r="E818"/>
      <c r="F818"/>
      <c r="G818"/>
      <c r="H818"/>
      <c r="I818"/>
      <c r="J818"/>
      <c r="K818"/>
      <c r="L818"/>
    </row>
    <row r="819" spans="1:12" customHeight="1" ht="11.25">
      <c r="A819"/>
      <c r="B819"/>
      <c r="C819"/>
      <c r="D819"/>
      <c r="E819"/>
      <c r="F819"/>
      <c r="G819"/>
      <c r="H819"/>
      <c r="I819"/>
      <c r="J819"/>
      <c r="K819"/>
      <c r="L819"/>
    </row>
    <row r="820" spans="1:12" customHeight="1" ht="11.25">
      <c r="A820"/>
      <c r="B820"/>
      <c r="C820"/>
      <c r="D820"/>
      <c r="E820"/>
      <c r="F820"/>
      <c r="G820"/>
      <c r="H820"/>
      <c r="I820"/>
      <c r="J820"/>
      <c r="K820"/>
      <c r="L820"/>
    </row>
    <row r="821" spans="1:12" customHeight="1" ht="11.25">
      <c r="A821"/>
      <c r="B821"/>
      <c r="C821"/>
      <c r="D821"/>
      <c r="E821"/>
      <c r="F821"/>
      <c r="G821"/>
      <c r="H821"/>
      <c r="I821"/>
      <c r="J821"/>
      <c r="K821"/>
      <c r="L821"/>
    </row>
    <row r="822" spans="1:12" customHeight="1" ht="11.25">
      <c r="A822"/>
      <c r="B822"/>
      <c r="C822"/>
      <c r="D822"/>
      <c r="E822"/>
      <c r="F822"/>
      <c r="G822"/>
      <c r="H822"/>
      <c r="I822"/>
      <c r="J822"/>
      <c r="K822"/>
      <c r="L822"/>
    </row>
    <row r="823" spans="1:12" customHeight="1" ht="11.25">
      <c r="A823"/>
      <c r="B823"/>
      <c r="C823"/>
      <c r="D823"/>
      <c r="E823"/>
      <c r="F823"/>
      <c r="G823"/>
      <c r="H823"/>
      <c r="I823"/>
      <c r="J823"/>
      <c r="K823"/>
      <c r="L823"/>
    </row>
    <row r="824" spans="1:12" customHeight="1" ht="11.25">
      <c r="A824"/>
      <c r="B824"/>
      <c r="C824"/>
      <c r="D824"/>
      <c r="E824"/>
      <c r="F824"/>
      <c r="G824"/>
      <c r="H824"/>
      <c r="I824"/>
      <c r="J824"/>
      <c r="K824"/>
      <c r="L824"/>
    </row>
    <row r="825" spans="1:12" customHeight="1" ht="11.25">
      <c r="A825"/>
      <c r="B825"/>
      <c r="C825"/>
      <c r="D825"/>
      <c r="E825"/>
      <c r="F825"/>
      <c r="G825"/>
      <c r="H825"/>
      <c r="I825"/>
      <c r="J825"/>
      <c r="K825"/>
      <c r="L825"/>
    </row>
    <row r="826" spans="1:12" customHeight="1" ht="11.25">
      <c r="A826"/>
      <c r="B826"/>
      <c r="C826"/>
      <c r="D826"/>
      <c r="E826"/>
      <c r="F826"/>
      <c r="G826"/>
      <c r="H826"/>
      <c r="I826"/>
      <c r="J826"/>
      <c r="K826"/>
      <c r="L826"/>
    </row>
    <row r="827" spans="1:12" customHeight="1" ht="11.25">
      <c r="A827"/>
      <c r="B827"/>
      <c r="C827"/>
      <c r="D827"/>
      <c r="E827"/>
      <c r="F827"/>
      <c r="G827"/>
      <c r="H827"/>
      <c r="I827"/>
      <c r="J827"/>
      <c r="K827"/>
      <c r="L827"/>
    </row>
    <row r="828" spans="1:12" customHeight="1" ht="11.25">
      <c r="A828"/>
      <c r="B828"/>
      <c r="C828"/>
      <c r="D828"/>
      <c r="E828"/>
      <c r="F828"/>
      <c r="G828"/>
      <c r="H828"/>
      <c r="I828"/>
      <c r="J828"/>
      <c r="K828"/>
      <c r="L828"/>
    </row>
    <row r="829" spans="1:12" customHeight="1" ht="11.25">
      <c r="A829"/>
      <c r="B829"/>
      <c r="C829"/>
      <c r="D829"/>
      <c r="E829"/>
      <c r="F829"/>
      <c r="G829"/>
      <c r="H829"/>
      <c r="I829"/>
      <c r="J829"/>
      <c r="K829"/>
      <c r="L829"/>
    </row>
    <row r="830" spans="1:12" customHeight="1" ht="11.25">
      <c r="A830"/>
      <c r="B830"/>
      <c r="C830"/>
      <c r="D830"/>
      <c r="E830"/>
      <c r="F830"/>
      <c r="G830"/>
      <c r="H830"/>
      <c r="I830"/>
      <c r="J830"/>
      <c r="K830"/>
      <c r="L830"/>
    </row>
    <row r="831" spans="1:12" customHeight="1" ht="11.25">
      <c r="A831"/>
      <c r="B831"/>
      <c r="C831"/>
      <c r="D831"/>
      <c r="E831"/>
      <c r="F831"/>
      <c r="G831"/>
      <c r="H831"/>
      <c r="I831"/>
      <c r="J831"/>
      <c r="K831"/>
      <c r="L831"/>
    </row>
    <row r="832" spans="1:12" customHeight="1" ht="11.25">
      <c r="A832"/>
      <c r="B832"/>
      <c r="C832"/>
      <c r="D832"/>
      <c r="E832"/>
      <c r="F832"/>
      <c r="G832"/>
      <c r="H832"/>
      <c r="I832"/>
      <c r="J832"/>
      <c r="K832"/>
      <c r="L832"/>
    </row>
    <row r="833" spans="1:12" customHeight="1" ht="11.25">
      <c r="A833"/>
      <c r="B833"/>
      <c r="C833"/>
      <c r="D833"/>
      <c r="E833"/>
      <c r="F833"/>
      <c r="G833"/>
      <c r="H833"/>
      <c r="I833"/>
      <c r="J833"/>
      <c r="K833"/>
      <c r="L833"/>
    </row>
    <row r="834" spans="1:12" customHeight="1" ht="11.25">
      <c r="A834"/>
      <c r="B834"/>
      <c r="C834"/>
      <c r="D834"/>
      <c r="E834"/>
      <c r="F834"/>
      <c r="G834"/>
      <c r="H834"/>
      <c r="I834"/>
      <c r="J834"/>
      <c r="K834"/>
      <c r="L834"/>
    </row>
    <row r="835" spans="1:12" customHeight="1" ht="11.25">
      <c r="A835"/>
      <c r="B835"/>
      <c r="C835"/>
      <c r="D835"/>
      <c r="E835"/>
      <c r="F835"/>
      <c r="G835"/>
      <c r="H835"/>
      <c r="I835"/>
      <c r="J835"/>
      <c r="K835"/>
      <c r="L835"/>
    </row>
    <row r="836" spans="1:12" customHeight="1" ht="11.25">
      <c r="A836"/>
      <c r="B836"/>
      <c r="C836"/>
      <c r="D836"/>
      <c r="E836"/>
      <c r="F836"/>
      <c r="G836"/>
      <c r="H836"/>
      <c r="I836"/>
      <c r="J836"/>
      <c r="K836"/>
      <c r="L836"/>
    </row>
    <row r="837" spans="1:12" customHeight="1" ht="11.25">
      <c r="A837"/>
      <c r="B837"/>
      <c r="C837"/>
      <c r="D837"/>
      <c r="E837"/>
      <c r="F837"/>
      <c r="G837"/>
      <c r="H837"/>
      <c r="I837"/>
      <c r="J837"/>
      <c r="K837"/>
      <c r="L837"/>
    </row>
    <row r="838" spans="1:12" customHeight="1" ht="11.25">
      <c r="A838"/>
      <c r="B838"/>
      <c r="C838"/>
      <c r="D838"/>
      <c r="E838"/>
      <c r="F838"/>
      <c r="G838"/>
      <c r="H838"/>
      <c r="I838"/>
      <c r="J838"/>
      <c r="K838"/>
      <c r="L838"/>
    </row>
    <row r="839" spans="1:12" customHeight="1" ht="11.25">
      <c r="A839"/>
      <c r="B839"/>
      <c r="C839"/>
      <c r="D839"/>
      <c r="E839"/>
      <c r="F839"/>
      <c r="G839"/>
      <c r="H839"/>
      <c r="I839"/>
      <c r="J839"/>
      <c r="K839"/>
      <c r="L839"/>
    </row>
    <row r="840" spans="1:12" customHeight="1" ht="11.25">
      <c r="A840"/>
      <c r="B840"/>
      <c r="C840"/>
      <c r="D840"/>
      <c r="E840"/>
      <c r="F840"/>
      <c r="G840"/>
      <c r="H840"/>
      <c r="I840"/>
      <c r="J840"/>
      <c r="K840"/>
      <c r="L840"/>
    </row>
    <row r="841" spans="1:12" customHeight="1" ht="11.25">
      <c r="A841"/>
      <c r="B841"/>
      <c r="C841"/>
      <c r="D841"/>
      <c r="E841"/>
      <c r="F841"/>
      <c r="G841"/>
      <c r="H841"/>
      <c r="I841"/>
      <c r="J841"/>
      <c r="K841"/>
      <c r="L841"/>
    </row>
    <row r="842" spans="1:12" customHeight="1" ht="11.25">
      <c r="A842"/>
      <c r="B842"/>
      <c r="C842"/>
      <c r="D842"/>
      <c r="E842"/>
      <c r="F842"/>
      <c r="G842"/>
      <c r="H842"/>
      <c r="I842"/>
      <c r="J842"/>
      <c r="K842"/>
      <c r="L842"/>
    </row>
    <row r="843" spans="1:12" customHeight="1" ht="11.25">
      <c r="A843"/>
      <c r="B843"/>
      <c r="C843"/>
      <c r="D843"/>
      <c r="E843"/>
      <c r="F843"/>
      <c r="G843"/>
      <c r="H843"/>
      <c r="I843"/>
      <c r="J843"/>
      <c r="K843"/>
      <c r="L843"/>
    </row>
    <row r="844" spans="1:12" customHeight="1" ht="11.25">
      <c r="A844"/>
      <c r="B844"/>
      <c r="C844"/>
      <c r="D844"/>
      <c r="E844"/>
      <c r="F844"/>
      <c r="G844"/>
      <c r="H844"/>
      <c r="I844"/>
      <c r="J844"/>
      <c r="K844"/>
      <c r="L844"/>
    </row>
    <row r="845" spans="1:12" customHeight="1" ht="11.25">
      <c r="A845"/>
      <c r="B845"/>
      <c r="C845"/>
      <c r="D845"/>
      <c r="E845"/>
      <c r="F845"/>
      <c r="G845"/>
      <c r="H845"/>
      <c r="I845"/>
      <c r="J845"/>
      <c r="K845"/>
      <c r="L845"/>
    </row>
    <row r="846" spans="1:12" customHeight="1" ht="11.25">
      <c r="A846"/>
      <c r="B846"/>
      <c r="C846"/>
      <c r="D846"/>
      <c r="E846"/>
      <c r="F846"/>
      <c r="G846"/>
      <c r="H846"/>
      <c r="I846"/>
      <c r="J846"/>
      <c r="K846"/>
      <c r="L846"/>
    </row>
    <row r="847" spans="1:12" customHeight="1" ht="11.25">
      <c r="A847"/>
      <c r="B847"/>
      <c r="C847"/>
      <c r="D847"/>
      <c r="E847"/>
      <c r="F847"/>
      <c r="G847"/>
      <c r="H847"/>
      <c r="I847"/>
      <c r="J847"/>
      <c r="K847"/>
      <c r="L847"/>
    </row>
    <row r="848" spans="1:12" customHeight="1" ht="11.25">
      <c r="A848"/>
      <c r="B848"/>
      <c r="C848"/>
      <c r="D848"/>
      <c r="E848"/>
      <c r="F848"/>
      <c r="G848"/>
      <c r="H848"/>
      <c r="I848"/>
      <c r="J848"/>
      <c r="K848"/>
      <c r="L848"/>
    </row>
    <row r="849" spans="1:12" customHeight="1" ht="11.25">
      <c r="A849"/>
      <c r="B849"/>
      <c r="C849"/>
      <c r="D849"/>
      <c r="E849"/>
      <c r="F849"/>
      <c r="G849"/>
      <c r="H849"/>
      <c r="I849"/>
      <c r="J849"/>
      <c r="K849"/>
      <c r="L849"/>
    </row>
    <row r="850" spans="1:12" customHeight="1" ht="11.25">
      <c r="A850"/>
      <c r="B850"/>
      <c r="C850"/>
      <c r="D850"/>
      <c r="E850"/>
      <c r="F850"/>
      <c r="G850"/>
      <c r="H850"/>
      <c r="I850"/>
      <c r="J850"/>
      <c r="K850"/>
      <c r="L850"/>
    </row>
    <row r="851" spans="1:12" customHeight="1" ht="11.25">
      <c r="A851"/>
      <c r="B851"/>
      <c r="C851"/>
      <c r="D851"/>
      <c r="E851"/>
      <c r="F851"/>
      <c r="G851"/>
      <c r="H851"/>
      <c r="I851"/>
      <c r="J851"/>
      <c r="K851"/>
      <c r="L851"/>
    </row>
    <row r="852" spans="1:12" customHeight="1" ht="11.25">
      <c r="A852"/>
      <c r="B852"/>
      <c r="C852"/>
      <c r="D852"/>
      <c r="E852"/>
      <c r="F852"/>
      <c r="G852"/>
      <c r="H852"/>
      <c r="I852"/>
      <c r="J852"/>
      <c r="K852"/>
      <c r="L852"/>
    </row>
    <row r="853" spans="1:12" customHeight="1" ht="11.25">
      <c r="A853"/>
      <c r="B853"/>
      <c r="C853"/>
      <c r="D853"/>
      <c r="E853"/>
      <c r="F853"/>
      <c r="G853"/>
      <c r="H853"/>
      <c r="I853"/>
      <c r="J853"/>
      <c r="K853"/>
      <c r="L853"/>
    </row>
    <row r="854" spans="1:12" customHeight="1" ht="11.25">
      <c r="A854"/>
      <c r="B854"/>
      <c r="C854"/>
      <c r="D854"/>
      <c r="E854"/>
      <c r="F854"/>
      <c r="G854"/>
      <c r="H854"/>
      <c r="I854"/>
      <c r="J854"/>
      <c r="K854"/>
      <c r="L854"/>
    </row>
    <row r="855" spans="1:12" customHeight="1" ht="11.25">
      <c r="A855"/>
      <c r="B855"/>
      <c r="C855"/>
      <c r="D855"/>
      <c r="E855"/>
      <c r="F855"/>
      <c r="G855"/>
      <c r="H855"/>
      <c r="I855"/>
      <c r="J855"/>
      <c r="K855"/>
      <c r="L855"/>
    </row>
    <row r="856" spans="1:12" customHeight="1" ht="11.25">
      <c r="A856"/>
      <c r="B856"/>
      <c r="C856"/>
      <c r="D856"/>
      <c r="E856"/>
      <c r="F856"/>
      <c r="G856"/>
      <c r="H856"/>
      <c r="I856"/>
      <c r="J856"/>
      <c r="K856"/>
      <c r="L856"/>
    </row>
    <row r="857" spans="1:12" customHeight="1" ht="11.25">
      <c r="A857"/>
      <c r="B857"/>
      <c r="C857"/>
      <c r="D857"/>
      <c r="E857"/>
      <c r="F857"/>
      <c r="G857"/>
      <c r="H857"/>
      <c r="I857"/>
      <c r="J857"/>
      <c r="K857"/>
      <c r="L857"/>
    </row>
    <row r="858" spans="1:12" customHeight="1" ht="11.25">
      <c r="A858"/>
      <c r="B858"/>
      <c r="C858"/>
      <c r="D858"/>
      <c r="E858"/>
      <c r="F858"/>
      <c r="G858"/>
      <c r="H858"/>
      <c r="I858"/>
      <c r="J858"/>
      <c r="K858"/>
      <c r="L858"/>
    </row>
    <row r="859" spans="1:12" customHeight="1" ht="11.25">
      <c r="A859"/>
      <c r="B859"/>
      <c r="C859"/>
      <c r="D859"/>
      <c r="E859"/>
      <c r="F859"/>
      <c r="G859"/>
      <c r="H859"/>
      <c r="I859"/>
      <c r="J859"/>
      <c r="K859"/>
      <c r="L859"/>
    </row>
    <row r="860" spans="1:12" customHeight="1" ht="11.25">
      <c r="A860"/>
      <c r="B860"/>
      <c r="C860"/>
      <c r="D860"/>
      <c r="E860"/>
      <c r="F860"/>
      <c r="G860"/>
      <c r="H860"/>
      <c r="I860"/>
      <c r="J860"/>
      <c r="K860"/>
      <c r="L860"/>
    </row>
    <row r="861" spans="1:12" customHeight="1" ht="11.25">
      <c r="A861"/>
      <c r="B861"/>
      <c r="C861"/>
      <c r="D861"/>
      <c r="E861"/>
      <c r="F861"/>
      <c r="G861"/>
      <c r="H861"/>
      <c r="I861"/>
      <c r="J861"/>
      <c r="K861"/>
      <c r="L861"/>
    </row>
    <row r="862" spans="1:12" customHeight="1" ht="11.25">
      <c r="A862"/>
      <c r="B862"/>
      <c r="C862"/>
      <c r="D862"/>
      <c r="E862"/>
      <c r="F862"/>
      <c r="G862"/>
      <c r="H862"/>
      <c r="I862"/>
      <c r="J862"/>
      <c r="K862"/>
      <c r="L862"/>
    </row>
    <row r="863" spans="1:12" customHeight="1" ht="11.25">
      <c r="A863"/>
      <c r="B863"/>
      <c r="C863"/>
      <c r="D863"/>
      <c r="E863"/>
      <c r="F863"/>
      <c r="G863"/>
      <c r="H863"/>
      <c r="I863"/>
      <c r="J863"/>
      <c r="K863"/>
      <c r="L863"/>
    </row>
    <row r="864" spans="1:12" customHeight="1" ht="11.25">
      <c r="A864"/>
      <c r="B864"/>
      <c r="C864"/>
      <c r="D864"/>
      <c r="E864"/>
      <c r="F864"/>
      <c r="G864"/>
      <c r="H864"/>
      <c r="I864"/>
      <c r="J864"/>
      <c r="K864"/>
      <c r="L864"/>
    </row>
    <row r="865" spans="1:12" customHeight="1" ht="11.25">
      <c r="A865"/>
      <c r="B865"/>
      <c r="C865"/>
      <c r="D865"/>
      <c r="E865"/>
      <c r="F865"/>
      <c r="G865"/>
      <c r="H865"/>
      <c r="I865"/>
      <c r="J865"/>
      <c r="K865"/>
      <c r="L865"/>
    </row>
    <row r="866" spans="1:12" customHeight="1" ht="11.25">
      <c r="A866"/>
      <c r="B866"/>
      <c r="C866"/>
      <c r="D866"/>
      <c r="E866"/>
      <c r="F866"/>
      <c r="G866"/>
      <c r="H866"/>
      <c r="I866"/>
      <c r="J866"/>
      <c r="K866"/>
      <c r="L866"/>
    </row>
    <row r="867" spans="1:12" customHeight="1" ht="11.25">
      <c r="A867"/>
      <c r="B867"/>
      <c r="C867"/>
      <c r="D867"/>
      <c r="E867"/>
      <c r="F867"/>
      <c r="G867"/>
      <c r="H867"/>
      <c r="I867"/>
      <c r="J867"/>
      <c r="K867"/>
      <c r="L867"/>
    </row>
    <row r="868" spans="1:12" customHeight="1" ht="11.25">
      <c r="A868"/>
      <c r="B868"/>
      <c r="C868"/>
      <c r="D868"/>
      <c r="E868"/>
      <c r="F868"/>
      <c r="G868"/>
      <c r="H868"/>
      <c r="I868"/>
      <c r="J868"/>
      <c r="K868"/>
      <c r="L868"/>
    </row>
    <row r="869" spans="1:12" customHeight="1" ht="11.25">
      <c r="A869"/>
      <c r="B869"/>
      <c r="C869"/>
      <c r="D869"/>
      <c r="E869"/>
      <c r="F869"/>
      <c r="G869"/>
      <c r="H869"/>
      <c r="I869"/>
      <c r="J869"/>
      <c r="K869"/>
      <c r="L869"/>
    </row>
    <row r="870" spans="1:12" customHeight="1" ht="11.25">
      <c r="A870"/>
      <c r="B870"/>
      <c r="C870"/>
      <c r="D870"/>
      <c r="E870"/>
      <c r="F870"/>
      <c r="G870"/>
      <c r="H870"/>
      <c r="I870"/>
      <c r="J870"/>
      <c r="K870"/>
      <c r="L870"/>
    </row>
    <row r="871" spans="1:12" customHeight="1" ht="11.25">
      <c r="A871"/>
      <c r="B871"/>
      <c r="C871"/>
      <c r="D871"/>
      <c r="E871"/>
      <c r="F871"/>
      <c r="G871"/>
      <c r="H871"/>
      <c r="I871"/>
      <c r="J871"/>
      <c r="K871"/>
      <c r="L871"/>
    </row>
    <row r="872" spans="1:12" customHeight="1" ht="11.25">
      <c r="A872"/>
      <c r="B872"/>
      <c r="C872"/>
      <c r="D872"/>
      <c r="E872"/>
      <c r="F872"/>
      <c r="G872"/>
      <c r="H872"/>
      <c r="I872"/>
      <c r="J872"/>
      <c r="K872"/>
      <c r="L872"/>
    </row>
    <row r="873" spans="1:12" customHeight="1" ht="11.25">
      <c r="A873"/>
      <c r="B873"/>
      <c r="C873"/>
      <c r="D873"/>
      <c r="E873"/>
      <c r="F873"/>
      <c r="G873"/>
      <c r="H873"/>
      <c r="I873"/>
      <c r="J873"/>
      <c r="K873"/>
      <c r="L873"/>
    </row>
    <row r="874" spans="1:12" customHeight="1" ht="11.25">
      <c r="A874"/>
      <c r="B874"/>
      <c r="C874"/>
      <c r="D874"/>
      <c r="E874"/>
      <c r="F874"/>
      <c r="G874"/>
      <c r="H874"/>
      <c r="I874"/>
      <c r="J874"/>
      <c r="K874"/>
      <c r="L874"/>
    </row>
    <row r="875" spans="1:12" customHeight="1" ht="11.25">
      <c r="A875"/>
      <c r="B875"/>
      <c r="C875"/>
      <c r="D875"/>
      <c r="E875"/>
      <c r="F875"/>
      <c r="G875"/>
      <c r="H875"/>
      <c r="I875"/>
      <c r="J875"/>
      <c r="K875"/>
      <c r="L875"/>
    </row>
    <row r="876" spans="1:12" customHeight="1" ht="11.25">
      <c r="A876"/>
      <c r="B876"/>
      <c r="C876"/>
      <c r="D876"/>
      <c r="E876"/>
      <c r="F876"/>
      <c r="G876"/>
      <c r="H876"/>
      <c r="I876"/>
      <c r="J876"/>
      <c r="K876"/>
      <c r="L876"/>
    </row>
    <row r="877" spans="1:12" customHeight="1" ht="11.25">
      <c r="A877"/>
      <c r="B877"/>
      <c r="C877"/>
      <c r="D877"/>
      <c r="E877"/>
      <c r="F877"/>
      <c r="G877"/>
      <c r="H877"/>
      <c r="I877"/>
      <c r="J877"/>
      <c r="K877"/>
      <c r="L877"/>
    </row>
    <row r="878" spans="1:12" customHeight="1" ht="11.25">
      <c r="A878"/>
      <c r="B878"/>
      <c r="C878"/>
      <c r="D878"/>
      <c r="E878"/>
      <c r="F878"/>
      <c r="G878"/>
      <c r="H878"/>
      <c r="I878"/>
      <c r="J878"/>
      <c r="K878"/>
      <c r="L878"/>
    </row>
    <row r="879" spans="1:12" customHeight="1" ht="11.25">
      <c r="A879"/>
      <c r="B879"/>
      <c r="C879"/>
      <c r="D879"/>
      <c r="E879"/>
      <c r="F879"/>
      <c r="G879"/>
      <c r="H879"/>
      <c r="I879"/>
      <c r="J879"/>
      <c r="K879"/>
      <c r="L879"/>
    </row>
    <row r="880" spans="1:12" customHeight="1" ht="11.25">
      <c r="A880"/>
      <c r="B880"/>
      <c r="C880"/>
      <c r="D880"/>
      <c r="E880"/>
      <c r="F880"/>
      <c r="G880"/>
      <c r="H880"/>
      <c r="I880"/>
      <c r="J880"/>
      <c r="K880"/>
      <c r="L880"/>
    </row>
    <row r="881" spans="1:12" customHeight="1" ht="11.25">
      <c r="A881"/>
      <c r="B881"/>
      <c r="C881"/>
      <c r="D881"/>
      <c r="E881"/>
      <c r="F881"/>
      <c r="G881"/>
      <c r="H881"/>
      <c r="I881"/>
      <c r="J881"/>
      <c r="K881"/>
      <c r="L881"/>
    </row>
    <row r="882" spans="1:12" customHeight="1" ht="11.25">
      <c r="A882"/>
      <c r="B882"/>
      <c r="C882"/>
      <c r="D882"/>
      <c r="E882"/>
      <c r="F882"/>
      <c r="G882"/>
      <c r="H882"/>
      <c r="I882"/>
      <c r="J882"/>
      <c r="K882"/>
      <c r="L882"/>
    </row>
    <row r="883" spans="1:12" customHeight="1" ht="11.25">
      <c r="A883"/>
      <c r="B883"/>
      <c r="C883"/>
      <c r="D883"/>
      <c r="E883"/>
      <c r="F883"/>
      <c r="G883"/>
      <c r="H883"/>
      <c r="I883"/>
      <c r="J883"/>
      <c r="K883"/>
      <c r="L883"/>
    </row>
    <row r="884" spans="1:12" customHeight="1" ht="11.25">
      <c r="A884"/>
      <c r="B884"/>
      <c r="C884"/>
      <c r="D884"/>
      <c r="E884"/>
      <c r="F884"/>
      <c r="G884"/>
      <c r="H884"/>
      <c r="I884"/>
      <c r="J884"/>
      <c r="K884"/>
      <c r="L884"/>
    </row>
    <row r="885" spans="1:12" customHeight="1" ht="11.25">
      <c r="A885"/>
      <c r="B885"/>
      <c r="C885"/>
      <c r="D885"/>
      <c r="E885"/>
      <c r="F885"/>
      <c r="G885"/>
      <c r="H885"/>
      <c r="I885"/>
      <c r="J885"/>
      <c r="K885"/>
      <c r="L885"/>
    </row>
    <row r="886" spans="1:12" customHeight="1" ht="11.25">
      <c r="A886"/>
      <c r="B886"/>
      <c r="C886"/>
      <c r="D886"/>
      <c r="E886"/>
      <c r="F886"/>
      <c r="G886"/>
      <c r="H886"/>
      <c r="I886"/>
      <c r="J886"/>
      <c r="K886"/>
      <c r="L886"/>
    </row>
    <row r="887" spans="1:12" customHeight="1" ht="11.25">
      <c r="A887"/>
      <c r="B887"/>
      <c r="C887"/>
      <c r="D887"/>
      <c r="E887"/>
      <c r="F887"/>
      <c r="G887"/>
      <c r="H887"/>
      <c r="I887"/>
      <c r="J887"/>
      <c r="K887"/>
      <c r="L887"/>
    </row>
    <row r="888" spans="1:12" customHeight="1" ht="11.25">
      <c r="A888"/>
      <c r="B888"/>
      <c r="C888"/>
      <c r="D888"/>
      <c r="E888"/>
      <c r="F888"/>
      <c r="G888"/>
      <c r="H888"/>
      <c r="I888"/>
      <c r="J888"/>
      <c r="K888"/>
      <c r="L888"/>
    </row>
    <row r="889" spans="1:12" customHeight="1" ht="11.25">
      <c r="A889"/>
      <c r="B889"/>
      <c r="C889"/>
      <c r="D889"/>
      <c r="E889"/>
      <c r="F889"/>
      <c r="G889"/>
      <c r="H889"/>
      <c r="I889"/>
      <c r="J889"/>
      <c r="K889"/>
      <c r="L889"/>
    </row>
    <row r="890" spans="1:12" customHeight="1" ht="11.25">
      <c r="A890"/>
      <c r="B890"/>
      <c r="C890"/>
      <c r="D890"/>
      <c r="E890"/>
      <c r="F890"/>
      <c r="G890"/>
      <c r="H890"/>
      <c r="I890"/>
      <c r="J890"/>
      <c r="K890"/>
      <c r="L890"/>
    </row>
    <row r="891" spans="1:12" customHeight="1" ht="11.25">
      <c r="A891"/>
      <c r="B891"/>
      <c r="C891"/>
      <c r="D891"/>
      <c r="E891"/>
      <c r="F891"/>
      <c r="G891"/>
      <c r="H891"/>
      <c r="I891"/>
      <c r="J891"/>
      <c r="K891"/>
      <c r="L891"/>
    </row>
    <row r="892" spans="1:12" customHeight="1" ht="11.25">
      <c r="A892"/>
      <c r="B892"/>
      <c r="C892"/>
      <c r="D892"/>
      <c r="E892"/>
      <c r="F892"/>
      <c r="G892"/>
      <c r="H892"/>
      <c r="I892"/>
      <c r="J892"/>
      <c r="K892"/>
      <c r="L892"/>
    </row>
    <row r="893" spans="1:12" customHeight="1" ht="11.25">
      <c r="A893"/>
      <c r="B893"/>
      <c r="C893"/>
      <c r="D893"/>
      <c r="E893"/>
      <c r="F893"/>
      <c r="G893"/>
      <c r="H893"/>
      <c r="I893"/>
      <c r="J893"/>
      <c r="K893"/>
      <c r="L893"/>
    </row>
    <row r="894" spans="1:12" customHeight="1" ht="11.25">
      <c r="A894"/>
      <c r="B894"/>
      <c r="C894"/>
      <c r="D894"/>
      <c r="E894"/>
      <c r="F894"/>
      <c r="G894"/>
      <c r="H894"/>
      <c r="I894"/>
      <c r="J894"/>
      <c r="K894"/>
      <c r="L894"/>
    </row>
    <row r="895" spans="1:12" customHeight="1" ht="11.25">
      <c r="A895"/>
      <c r="B895"/>
      <c r="C895"/>
      <c r="D895"/>
      <c r="E895"/>
      <c r="F895"/>
      <c r="G895"/>
      <c r="H895"/>
      <c r="I895"/>
      <c r="J895"/>
      <c r="K895"/>
      <c r="L895"/>
    </row>
    <row r="896" spans="1:12" customHeight="1" ht="11.25">
      <c r="A896"/>
      <c r="B896"/>
      <c r="C896"/>
      <c r="D896"/>
      <c r="E896"/>
      <c r="F896"/>
      <c r="G896"/>
      <c r="H896"/>
      <c r="I896"/>
      <c r="J896"/>
      <c r="K896"/>
      <c r="L896"/>
    </row>
    <row r="897" spans="1:12" customHeight="1" ht="11.25">
      <c r="A897"/>
      <c r="B897"/>
      <c r="C897"/>
      <c r="D897"/>
      <c r="E897"/>
      <c r="F897"/>
      <c r="G897"/>
      <c r="H897"/>
      <c r="I897"/>
      <c r="J897"/>
      <c r="K897"/>
      <c r="L897"/>
    </row>
    <row r="898" spans="1:12" customHeight="1" ht="11.25">
      <c r="A898"/>
      <c r="B898"/>
      <c r="C898"/>
      <c r="D898"/>
      <c r="E898"/>
      <c r="F898"/>
      <c r="G898"/>
      <c r="H898"/>
      <c r="I898"/>
      <c r="J898"/>
      <c r="K898"/>
      <c r="L898"/>
    </row>
    <row r="899" spans="1:12" customHeight="1" ht="11.25">
      <c r="A899"/>
      <c r="B899"/>
      <c r="C899"/>
      <c r="D899"/>
      <c r="E899"/>
      <c r="F899"/>
      <c r="G899"/>
      <c r="H899"/>
      <c r="I899"/>
      <c r="J899"/>
      <c r="K899"/>
      <c r="L899"/>
    </row>
    <row r="900" spans="1:12" customHeight="1" ht="11.25">
      <c r="A900"/>
      <c r="B900"/>
      <c r="C900"/>
      <c r="D900"/>
      <c r="E900"/>
      <c r="F900"/>
      <c r="G900"/>
      <c r="H900"/>
      <c r="I900"/>
      <c r="J900"/>
      <c r="K900"/>
      <c r="L900"/>
    </row>
    <row r="901" spans="1:12" customHeight="1" ht="11.25">
      <c r="A901"/>
      <c r="B901"/>
      <c r="C901"/>
      <c r="D901"/>
      <c r="E901"/>
      <c r="F901"/>
      <c r="G901"/>
      <c r="H901"/>
      <c r="I901"/>
      <c r="J901"/>
      <c r="K901"/>
      <c r="L901"/>
    </row>
    <row r="902" spans="1:12" customHeight="1" ht="11.25">
      <c r="A902"/>
      <c r="B902"/>
      <c r="C902"/>
      <c r="D902"/>
      <c r="E902"/>
      <c r="F902"/>
      <c r="G902"/>
      <c r="H902"/>
      <c r="I902"/>
      <c r="J902"/>
      <c r="K902"/>
      <c r="L902"/>
    </row>
    <row r="903" spans="1:12" customHeight="1" ht="11.25">
      <c r="A903"/>
      <c r="B903"/>
      <c r="C903"/>
      <c r="D903"/>
      <c r="E903"/>
      <c r="F903"/>
      <c r="G903"/>
      <c r="H903"/>
      <c r="I903"/>
      <c r="J903"/>
      <c r="K903"/>
      <c r="L903"/>
    </row>
    <row r="904" spans="1:12" customHeight="1" ht="11.25">
      <c r="A904"/>
      <c r="B904"/>
      <c r="C904"/>
      <c r="D904"/>
      <c r="E904"/>
      <c r="F904"/>
      <c r="G904"/>
      <c r="H904"/>
      <c r="I904"/>
      <c r="J904"/>
      <c r="K904"/>
      <c r="L904"/>
    </row>
    <row r="905" spans="1:12" customHeight="1" ht="11.25">
      <c r="A905"/>
      <c r="B905"/>
      <c r="C905"/>
      <c r="D905"/>
      <c r="E905"/>
      <c r="F905"/>
      <c r="G905"/>
      <c r="H905"/>
      <c r="I905"/>
      <c r="J905"/>
      <c r="K905"/>
      <c r="L905"/>
    </row>
    <row r="906" spans="1:12" customHeight="1" ht="11.25">
      <c r="A906"/>
      <c r="B906"/>
      <c r="C906"/>
      <c r="D906"/>
      <c r="E906"/>
      <c r="F906"/>
      <c r="G906"/>
      <c r="H906"/>
      <c r="I906"/>
      <c r="J906"/>
      <c r="K906"/>
      <c r="L906"/>
    </row>
    <row r="907" spans="1:12" customHeight="1" ht="11.25">
      <c r="A907"/>
      <c r="B907"/>
      <c r="C907"/>
      <c r="D907"/>
      <c r="E907"/>
      <c r="F907"/>
      <c r="G907"/>
      <c r="H907"/>
      <c r="I907"/>
      <c r="J907"/>
      <c r="K907"/>
      <c r="L907"/>
    </row>
    <row r="908" spans="1:12" customHeight="1" ht="11.25">
      <c r="A908"/>
      <c r="B908"/>
      <c r="C908"/>
      <c r="D908"/>
      <c r="E908"/>
      <c r="F908"/>
      <c r="G908"/>
      <c r="H908"/>
      <c r="I908"/>
      <c r="J908"/>
      <c r="K908"/>
      <c r="L908"/>
    </row>
    <row r="909" spans="1:12" customHeight="1" ht="11.25">
      <c r="A909"/>
      <c r="B909"/>
      <c r="C909"/>
      <c r="D909"/>
      <c r="E909"/>
      <c r="F909"/>
      <c r="G909"/>
      <c r="H909"/>
      <c r="I909"/>
      <c r="J909"/>
      <c r="K909"/>
      <c r="L909"/>
    </row>
    <row r="910" spans="1:12" customHeight="1" ht="11.25">
      <c r="A910"/>
      <c r="B910"/>
      <c r="C910"/>
      <c r="D910"/>
      <c r="E910"/>
      <c r="F910"/>
      <c r="G910"/>
      <c r="H910"/>
      <c r="I910"/>
      <c r="J910"/>
      <c r="K910"/>
      <c r="L910"/>
    </row>
    <row r="911" spans="1:12" customHeight="1" ht="11.25">
      <c r="A911"/>
      <c r="B911"/>
      <c r="C911"/>
      <c r="D911"/>
      <c r="E911"/>
      <c r="F911"/>
      <c r="G911"/>
      <c r="H911"/>
      <c r="I911"/>
      <c r="J911"/>
      <c r="K911"/>
      <c r="L911"/>
    </row>
    <row r="912" spans="1:12" customHeight="1" ht="11.25">
      <c r="A912"/>
      <c r="B912"/>
      <c r="C912"/>
      <c r="D912"/>
      <c r="E912"/>
      <c r="F912"/>
      <c r="G912"/>
      <c r="H912"/>
      <c r="I912"/>
      <c r="J912"/>
      <c r="K912"/>
      <c r="L912"/>
    </row>
    <row r="913" spans="1:12" customHeight="1" ht="11.25">
      <c r="A913"/>
      <c r="B913"/>
      <c r="C913"/>
      <c r="D913"/>
      <c r="E913"/>
      <c r="F913"/>
      <c r="G913"/>
      <c r="H913"/>
      <c r="I913"/>
      <c r="J913"/>
      <c r="K913"/>
      <c r="L913"/>
    </row>
    <row r="914" spans="1:12" customHeight="1" ht="11.25">
      <c r="A914"/>
      <c r="B914"/>
      <c r="C914"/>
      <c r="D914"/>
      <c r="E914"/>
      <c r="F914"/>
      <c r="G914"/>
      <c r="H914"/>
      <c r="I914"/>
      <c r="J914"/>
      <c r="K914"/>
      <c r="L914"/>
    </row>
    <row r="915" spans="1:12" customHeight="1" ht="11.25">
      <c r="A915"/>
      <c r="B915"/>
      <c r="C915"/>
      <c r="D915"/>
      <c r="E915"/>
      <c r="F915"/>
      <c r="G915"/>
      <c r="H915"/>
      <c r="I915"/>
      <c r="J915"/>
      <c r="K915"/>
      <c r="L915"/>
    </row>
    <row r="916" spans="1:12" customHeight="1" ht="11.25">
      <c r="A916"/>
      <c r="B916"/>
      <c r="C916"/>
      <c r="D916"/>
      <c r="E916"/>
      <c r="F916"/>
      <c r="G916"/>
      <c r="H916"/>
      <c r="I916"/>
      <c r="J916"/>
      <c r="K916"/>
      <c r="L916"/>
    </row>
    <row r="917" spans="1:12" customHeight="1" ht="11.25">
      <c r="A917"/>
      <c r="B917"/>
      <c r="C917"/>
      <c r="D917"/>
      <c r="E917"/>
      <c r="F917"/>
      <c r="G917"/>
      <c r="H917"/>
      <c r="I917"/>
      <c r="J917"/>
      <c r="K917"/>
      <c r="L917"/>
    </row>
    <row r="918" spans="1:12" customHeight="1" ht="11.25">
      <c r="A918"/>
      <c r="B918"/>
      <c r="C918"/>
      <c r="D918"/>
      <c r="E918"/>
      <c r="F918"/>
      <c r="G918"/>
      <c r="H918"/>
      <c r="I918"/>
      <c r="J918"/>
      <c r="K918"/>
      <c r="L918"/>
    </row>
    <row r="919" spans="1:12" customHeight="1" ht="11.25">
      <c r="A919"/>
      <c r="B919"/>
      <c r="C919"/>
      <c r="D919"/>
      <c r="E919"/>
      <c r="F919"/>
      <c r="G919"/>
      <c r="H919"/>
      <c r="I919"/>
      <c r="J919"/>
      <c r="K919"/>
      <c r="L919"/>
    </row>
    <row r="920" spans="1:12" customHeight="1" ht="11.25">
      <c r="A920"/>
      <c r="B920"/>
      <c r="C920"/>
      <c r="D920"/>
      <c r="E920"/>
      <c r="F920"/>
      <c r="G920"/>
      <c r="H920"/>
      <c r="I920"/>
      <c r="J920"/>
      <c r="K920"/>
      <c r="L920"/>
    </row>
    <row r="921" spans="1:12" customHeight="1" ht="11.25">
      <c r="A921"/>
      <c r="B921"/>
      <c r="C921"/>
      <c r="D921"/>
      <c r="E921"/>
      <c r="F921"/>
      <c r="G921"/>
      <c r="H921"/>
      <c r="I921"/>
      <c r="J921"/>
      <c r="K921"/>
      <c r="L921"/>
    </row>
    <row r="922" spans="1:12" customHeight="1" ht="11.25">
      <c r="A922"/>
      <c r="B922"/>
      <c r="C922"/>
      <c r="D922"/>
      <c r="E922"/>
      <c r="F922"/>
      <c r="G922"/>
      <c r="H922"/>
      <c r="I922"/>
      <c r="J922"/>
      <c r="K922"/>
      <c r="L922"/>
    </row>
    <row r="923" spans="1:12" customHeight="1" ht="11.25">
      <c r="A923"/>
      <c r="B923"/>
      <c r="C923"/>
      <c r="D923"/>
      <c r="E923"/>
      <c r="F923"/>
      <c r="G923"/>
      <c r="H923"/>
      <c r="I923"/>
      <c r="J923"/>
      <c r="K923"/>
      <c r="L923"/>
    </row>
    <row r="924" spans="1:12" customHeight="1" ht="11.25">
      <c r="A924"/>
      <c r="B924"/>
      <c r="C924"/>
      <c r="D924"/>
      <c r="E924"/>
      <c r="F924"/>
      <c r="G924"/>
      <c r="H924"/>
      <c r="I924"/>
      <c r="J924"/>
      <c r="K924"/>
      <c r="L924"/>
    </row>
    <row r="925" spans="1:12" customHeight="1" ht="11.25">
      <c r="A925"/>
      <c r="B925"/>
      <c r="C925"/>
      <c r="D925"/>
      <c r="E925"/>
      <c r="F925"/>
      <c r="G925"/>
      <c r="H925"/>
      <c r="I925"/>
      <c r="J925"/>
      <c r="K925"/>
      <c r="L925"/>
    </row>
    <row r="926" spans="1:12" customHeight="1" ht="11.25">
      <c r="A926"/>
      <c r="B926"/>
      <c r="C926"/>
      <c r="D926"/>
      <c r="E926"/>
      <c r="F926"/>
      <c r="G926"/>
      <c r="H926"/>
      <c r="I926"/>
      <c r="J926"/>
      <c r="K926"/>
      <c r="L926"/>
    </row>
    <row r="927" spans="1:12" customHeight="1" ht="11.25">
      <c r="A927"/>
      <c r="B927"/>
      <c r="C927"/>
      <c r="D927"/>
      <c r="E927"/>
      <c r="F927"/>
      <c r="G927"/>
      <c r="H927"/>
      <c r="I927"/>
      <c r="J927"/>
      <c r="K927"/>
      <c r="L927"/>
    </row>
    <row r="928" spans="1:12" customHeight="1" ht="11.25">
      <c r="A928"/>
      <c r="B928"/>
      <c r="C928"/>
      <c r="D928"/>
      <c r="E928"/>
      <c r="F928"/>
      <c r="G928"/>
      <c r="H928"/>
      <c r="I928"/>
      <c r="J928"/>
      <c r="K928"/>
      <c r="L928"/>
    </row>
    <row r="929" spans="1:12" customHeight="1" ht="11.25">
      <c r="A929"/>
      <c r="B929"/>
      <c r="C929"/>
      <c r="D929"/>
      <c r="E929"/>
      <c r="F929"/>
      <c r="G929"/>
      <c r="H929"/>
      <c r="I929"/>
      <c r="J929"/>
      <c r="K929"/>
      <c r="L929"/>
    </row>
    <row r="930" spans="1:12" customHeight="1" ht="11.25">
      <c r="A930"/>
      <c r="B930"/>
      <c r="C930"/>
      <c r="D930"/>
      <c r="E930"/>
      <c r="F930"/>
      <c r="G930"/>
      <c r="H930"/>
      <c r="I930"/>
      <c r="J930"/>
      <c r="K930"/>
      <c r="L930"/>
    </row>
    <row r="931" spans="1:12" customHeight="1" ht="11.25">
      <c r="A931"/>
      <c r="B931"/>
      <c r="C931"/>
      <c r="D931"/>
      <c r="E931"/>
      <c r="F931"/>
      <c r="G931"/>
      <c r="H931"/>
      <c r="I931"/>
      <c r="J931"/>
      <c r="K931"/>
      <c r="L931"/>
    </row>
    <row r="932" spans="1:12" customHeight="1" ht="11.25">
      <c r="A932"/>
      <c r="B932"/>
      <c r="C932"/>
      <c r="D932"/>
      <c r="E932"/>
      <c r="F932"/>
      <c r="G932"/>
      <c r="H932"/>
      <c r="I932"/>
      <c r="J932"/>
      <c r="K932"/>
      <c r="L932"/>
    </row>
    <row r="933" spans="1:12" customHeight="1" ht="11.25">
      <c r="A933"/>
      <c r="B933"/>
      <c r="C933"/>
      <c r="D933"/>
      <c r="E933"/>
      <c r="F933"/>
      <c r="G933"/>
      <c r="H933"/>
      <c r="I933"/>
      <c r="J933"/>
      <c r="K933"/>
      <c r="L933"/>
    </row>
    <row r="934" spans="1:12" customHeight="1" ht="11.25">
      <c r="A934"/>
      <c r="B934"/>
      <c r="C934"/>
      <c r="D934"/>
      <c r="E934"/>
      <c r="F934"/>
      <c r="G934"/>
      <c r="H934"/>
      <c r="I934"/>
      <c r="J934"/>
      <c r="K934"/>
      <c r="L934"/>
    </row>
    <row r="935" spans="1:12" customHeight="1" ht="11.25">
      <c r="A935"/>
      <c r="B935"/>
      <c r="C935"/>
      <c r="D935"/>
      <c r="E935"/>
      <c r="F935"/>
      <c r="G935"/>
      <c r="H935"/>
      <c r="I935"/>
      <c r="J935"/>
      <c r="K935"/>
      <c r="L935"/>
    </row>
    <row r="936" spans="1:12" customHeight="1" ht="11.25">
      <c r="A936"/>
      <c r="B936"/>
      <c r="C936"/>
      <c r="D936"/>
      <c r="E936"/>
      <c r="F936"/>
      <c r="G936"/>
      <c r="H936"/>
      <c r="I936"/>
      <c r="J936"/>
      <c r="K936"/>
      <c r="L936"/>
    </row>
    <row r="937" spans="1:12" customHeight="1" ht="11.25">
      <c r="A937"/>
      <c r="B937"/>
      <c r="C937"/>
      <c r="D937"/>
      <c r="E937"/>
      <c r="F937"/>
      <c r="G937"/>
      <c r="H937"/>
      <c r="I937"/>
      <c r="J937"/>
      <c r="K937"/>
      <c r="L937"/>
    </row>
    <row r="938" spans="1:12" customHeight="1" ht="11.25">
      <c r="A938"/>
      <c r="B938"/>
      <c r="C938"/>
      <c r="D938"/>
      <c r="E938"/>
      <c r="F938"/>
      <c r="G938"/>
      <c r="H938"/>
      <c r="I938"/>
      <c r="J938"/>
      <c r="K938"/>
      <c r="L938"/>
    </row>
    <row r="939" spans="1:12" customHeight="1" ht="11.25">
      <c r="A939"/>
      <c r="B939"/>
      <c r="C939"/>
      <c r="D939"/>
      <c r="E939"/>
      <c r="F939"/>
      <c r="G939"/>
      <c r="H939"/>
      <c r="I939"/>
      <c r="J939"/>
      <c r="K939"/>
      <c r="L939"/>
    </row>
    <row r="940" spans="1:12" customHeight="1" ht="11.25">
      <c r="A940"/>
      <c r="B940"/>
      <c r="C940"/>
      <c r="D940"/>
      <c r="E940"/>
      <c r="F940"/>
      <c r="G940"/>
      <c r="H940"/>
      <c r="I940"/>
      <c r="J940"/>
      <c r="K940"/>
      <c r="L940"/>
    </row>
    <row r="941" spans="1:12" customHeight="1" ht="11.25">
      <c r="A941"/>
      <c r="B941"/>
      <c r="C941"/>
      <c r="D941"/>
      <c r="E941"/>
      <c r="F941"/>
      <c r="G941"/>
      <c r="H941"/>
      <c r="I941"/>
      <c r="J941"/>
      <c r="K941"/>
      <c r="L941"/>
    </row>
    <row r="942" spans="1:12" customHeight="1" ht="11.25">
      <c r="A942"/>
      <c r="B942"/>
      <c r="C942"/>
      <c r="D942"/>
      <c r="E942"/>
      <c r="F942"/>
      <c r="G942"/>
      <c r="H942"/>
      <c r="I942"/>
      <c r="J942"/>
      <c r="K942"/>
      <c r="L942"/>
    </row>
    <row r="943" spans="1:12" customHeight="1" ht="11.25">
      <c r="A943"/>
      <c r="B943"/>
      <c r="C943"/>
      <c r="D943"/>
      <c r="E943"/>
      <c r="F943"/>
      <c r="G943"/>
      <c r="H943"/>
      <c r="I943"/>
      <c r="J943"/>
      <c r="K943"/>
      <c r="L943"/>
    </row>
    <row r="944" spans="1:12" customHeight="1" ht="11.25">
      <c r="A944"/>
      <c r="B944"/>
      <c r="C944"/>
      <c r="D944"/>
      <c r="E944"/>
      <c r="F944"/>
      <c r="G944"/>
      <c r="H944"/>
      <c r="I944"/>
      <c r="J944"/>
      <c r="K944"/>
      <c r="L944"/>
    </row>
    <row r="945" spans="1:12" customHeight="1" ht="11.25">
      <c r="A945"/>
      <c r="B945"/>
      <c r="C945"/>
      <c r="D945"/>
      <c r="E945"/>
      <c r="F945"/>
      <c r="G945"/>
      <c r="H945"/>
      <c r="I945"/>
      <c r="J945"/>
      <c r="K945"/>
      <c r="L945"/>
    </row>
    <row r="946" spans="1:12" customHeight="1" ht="11.25">
      <c r="A946"/>
      <c r="B946"/>
      <c r="C946"/>
      <c r="D946"/>
      <c r="E946"/>
      <c r="F946"/>
      <c r="G946"/>
      <c r="H946"/>
      <c r="I946"/>
      <c r="J946"/>
      <c r="K946"/>
      <c r="L946"/>
    </row>
    <row r="947" spans="1:12" customHeight="1" ht="11.25">
      <c r="A947"/>
      <c r="B947"/>
      <c r="C947"/>
      <c r="D947"/>
      <c r="E947"/>
      <c r="F947"/>
      <c r="G947"/>
      <c r="H947"/>
      <c r="I947"/>
      <c r="J947"/>
      <c r="K947"/>
      <c r="L947"/>
    </row>
    <row r="948" spans="1:12" customHeight="1" ht="11.25">
      <c r="A948"/>
      <c r="B948"/>
      <c r="C948"/>
      <c r="D948"/>
      <c r="E948"/>
      <c r="F948"/>
      <c r="G948"/>
      <c r="H948"/>
      <c r="I948"/>
      <c r="J948"/>
      <c r="K948"/>
      <c r="L948"/>
    </row>
    <row r="949" spans="1:12" customHeight="1" ht="11.25">
      <c r="A949"/>
      <c r="B949"/>
      <c r="C949"/>
      <c r="D949"/>
      <c r="E949"/>
      <c r="F949"/>
      <c r="G949"/>
      <c r="H949"/>
      <c r="I949"/>
      <c r="J949"/>
      <c r="K949"/>
      <c r="L949"/>
    </row>
    <row r="950" spans="1:12" customHeight="1" ht="11.25">
      <c r="A950"/>
      <c r="B950"/>
      <c r="C950"/>
      <c r="D950"/>
      <c r="E950"/>
      <c r="F950"/>
      <c r="G950"/>
      <c r="H950"/>
      <c r="I950"/>
      <c r="J950"/>
      <c r="K950"/>
      <c r="L950"/>
    </row>
    <row r="951" spans="1:12" customHeight="1" ht="11.25">
      <c r="A951"/>
      <c r="B951"/>
      <c r="C951"/>
      <c r="D951"/>
      <c r="E951"/>
      <c r="F951"/>
      <c r="G951"/>
      <c r="H951"/>
      <c r="I951"/>
      <c r="J951"/>
      <c r="K951"/>
      <c r="L951"/>
    </row>
    <row r="952" spans="1:12" customHeight="1" ht="11.25">
      <c r="A952"/>
      <c r="B952"/>
      <c r="C952"/>
      <c r="D952"/>
      <c r="E952"/>
      <c r="F952"/>
      <c r="G952"/>
      <c r="H952"/>
      <c r="I952"/>
      <c r="J952"/>
      <c r="K952"/>
      <c r="L952"/>
    </row>
    <row r="953" spans="1:12" customHeight="1" ht="11.25">
      <c r="A953"/>
      <c r="B953"/>
      <c r="C953"/>
      <c r="D953"/>
      <c r="E953"/>
      <c r="F953"/>
      <c r="G953"/>
      <c r="H953"/>
      <c r="I953"/>
      <c r="J953"/>
      <c r="K953"/>
      <c r="L953"/>
    </row>
    <row r="954" spans="1:12" customHeight="1" ht="11.25">
      <c r="A954"/>
      <c r="B954"/>
      <c r="C954"/>
      <c r="D954"/>
      <c r="E954"/>
      <c r="F954"/>
      <c r="G954"/>
      <c r="H954"/>
      <c r="I954"/>
      <c r="J954"/>
      <c r="K954"/>
      <c r="L954"/>
    </row>
    <row r="955" spans="1:12" customHeight="1" ht="11.25">
      <c r="A955"/>
      <c r="B955"/>
      <c r="C955"/>
      <c r="D955"/>
      <c r="E955"/>
      <c r="F955"/>
      <c r="G955"/>
      <c r="H955"/>
      <c r="I955"/>
      <c r="J955"/>
      <c r="K955"/>
      <c r="L955"/>
    </row>
    <row r="956" spans="1:12" customHeight="1" ht="11.25">
      <c r="A956"/>
      <c r="B956"/>
      <c r="C956"/>
      <c r="D956"/>
      <c r="E956"/>
      <c r="F956"/>
      <c r="G956"/>
      <c r="H956"/>
      <c r="I956"/>
      <c r="J956"/>
      <c r="K956"/>
      <c r="L956"/>
    </row>
    <row r="957" spans="1:12" customHeight="1" ht="11.25">
      <c r="A957"/>
      <c r="B957"/>
      <c r="C957"/>
      <c r="D957"/>
      <c r="E957"/>
      <c r="F957"/>
      <c r="G957"/>
      <c r="H957"/>
      <c r="I957"/>
      <c r="J957"/>
      <c r="K957"/>
      <c r="L957"/>
    </row>
    <row r="958" spans="1:12" customHeight="1" ht="11.25">
      <c r="A958"/>
      <c r="B958"/>
      <c r="C958"/>
      <c r="D958"/>
      <c r="E958"/>
      <c r="F958"/>
      <c r="G958"/>
      <c r="H958"/>
      <c r="I958"/>
      <c r="J958"/>
      <c r="K958"/>
      <c r="L958"/>
    </row>
    <row r="959" spans="1:12" customHeight="1" ht="11.25">
      <c r="A959"/>
      <c r="B959"/>
      <c r="C959"/>
      <c r="D959"/>
      <c r="E959"/>
      <c r="F959"/>
      <c r="G959"/>
      <c r="H959"/>
      <c r="I959"/>
      <c r="J959"/>
      <c r="K959"/>
      <c r="L959"/>
    </row>
    <row r="960" spans="1:12" customHeight="1" ht="11.25">
      <c r="A960"/>
      <c r="B960"/>
      <c r="C960"/>
      <c r="D960"/>
      <c r="E960"/>
      <c r="F960"/>
      <c r="G960"/>
      <c r="H960"/>
      <c r="I960"/>
      <c r="J960"/>
      <c r="K960"/>
      <c r="L960"/>
    </row>
    <row r="961" spans="1:12" customHeight="1" ht="11.25">
      <c r="A961"/>
      <c r="B961"/>
      <c r="C961"/>
      <c r="D961"/>
      <c r="E961"/>
      <c r="F961"/>
      <c r="G961"/>
      <c r="H961"/>
      <c r="I961"/>
      <c r="J961"/>
      <c r="K961"/>
      <c r="L961"/>
    </row>
    <row r="962" spans="1:12" customHeight="1" ht="11.25">
      <c r="A962"/>
      <c r="B962"/>
      <c r="C962"/>
      <c r="D962"/>
      <c r="E962"/>
      <c r="F962"/>
      <c r="G962"/>
      <c r="H962"/>
      <c r="I962"/>
      <c r="J962"/>
      <c r="K962"/>
      <c r="L962"/>
    </row>
    <row r="963" spans="1:12" customHeight="1" ht="11.25">
      <c r="A963"/>
      <c r="B963"/>
      <c r="C963"/>
      <c r="D963"/>
      <c r="E963"/>
      <c r="F963"/>
      <c r="G963"/>
      <c r="H963"/>
      <c r="I963"/>
      <c r="J963"/>
      <c r="K963"/>
      <c r="L963"/>
    </row>
    <row r="964" spans="1:12" customHeight="1" ht="11.25">
      <c r="A964"/>
      <c r="B964"/>
      <c r="C964"/>
      <c r="D964"/>
      <c r="E964"/>
      <c r="F964"/>
      <c r="G964"/>
      <c r="H964"/>
      <c r="I964"/>
      <c r="J964"/>
      <c r="K964"/>
      <c r="L964"/>
    </row>
    <row r="965" spans="1:12" customHeight="1" ht="11.25">
      <c r="A965"/>
      <c r="B965"/>
      <c r="C965"/>
      <c r="D965"/>
      <c r="E965"/>
      <c r="F965"/>
      <c r="G965"/>
      <c r="H965"/>
      <c r="I965"/>
      <c r="J965"/>
      <c r="K965"/>
      <c r="L965"/>
    </row>
    <row r="966" spans="1:12" customHeight="1" ht="11.25">
      <c r="A966"/>
      <c r="B966"/>
      <c r="C966"/>
      <c r="D966"/>
      <c r="E966"/>
      <c r="F966"/>
      <c r="G966"/>
      <c r="H966"/>
      <c r="I966"/>
      <c r="J966"/>
      <c r="K966"/>
      <c r="L966"/>
    </row>
    <row r="967" spans="1:12" customHeight="1" ht="11.25">
      <c r="A967"/>
      <c r="B967"/>
      <c r="C967"/>
      <c r="D967"/>
      <c r="E967"/>
      <c r="F967"/>
      <c r="G967"/>
      <c r="H967"/>
      <c r="I967"/>
      <c r="J967"/>
      <c r="K967"/>
      <c r="L967"/>
    </row>
    <row r="968" spans="1:12" customHeight="1" ht="11.25">
      <c r="A968"/>
      <c r="B968"/>
      <c r="C968"/>
      <c r="D968"/>
      <c r="E968"/>
      <c r="F968"/>
      <c r="G968"/>
      <c r="H968"/>
      <c r="I968"/>
      <c r="J968"/>
      <c r="K968"/>
      <c r="L968"/>
    </row>
    <row r="969" spans="1:12" customHeight="1" ht="11.25">
      <c r="A969"/>
      <c r="B969"/>
      <c r="C969"/>
      <c r="D969"/>
      <c r="E969"/>
      <c r="F969"/>
      <c r="G969"/>
      <c r="H969"/>
      <c r="I969"/>
      <c r="J969"/>
      <c r="K969"/>
      <c r="L969"/>
    </row>
    <row r="970" spans="1:12" customHeight="1" ht="11.25">
      <c r="A970"/>
      <c r="B970"/>
      <c r="C970"/>
      <c r="D970"/>
      <c r="E970"/>
      <c r="F970"/>
      <c r="G970"/>
      <c r="H970"/>
      <c r="I970"/>
      <c r="J970"/>
      <c r="K970"/>
      <c r="L970"/>
    </row>
    <row r="971" spans="1:12" customHeight="1" ht="11.25">
      <c r="A971"/>
      <c r="B971"/>
      <c r="C971"/>
      <c r="D971"/>
      <c r="E971"/>
      <c r="F971"/>
      <c r="G971"/>
      <c r="H971"/>
      <c r="I971"/>
      <c r="J971"/>
      <c r="K971"/>
      <c r="L971"/>
    </row>
    <row r="972" spans="1:12" customHeight="1" ht="11.25">
      <c r="A972"/>
      <c r="B972"/>
      <c r="C972"/>
      <c r="D972"/>
      <c r="E972"/>
      <c r="F972"/>
      <c r="G972"/>
      <c r="H972"/>
      <c r="I972"/>
      <c r="J972"/>
      <c r="K972"/>
      <c r="L972"/>
    </row>
    <row r="973" spans="1:12" customHeight="1" ht="11.25">
      <c r="A973"/>
      <c r="B973"/>
      <c r="C973"/>
      <c r="D973"/>
      <c r="E973"/>
      <c r="F973"/>
      <c r="G973"/>
      <c r="H973"/>
      <c r="I973"/>
      <c r="J973"/>
      <c r="K973"/>
      <c r="L973"/>
    </row>
    <row r="974" spans="1:12" customHeight="1" ht="11.25">
      <c r="A974"/>
      <c r="B974"/>
      <c r="C974"/>
      <c r="D974"/>
      <c r="E974"/>
      <c r="F974"/>
      <c r="G974"/>
      <c r="H974"/>
      <c r="I974"/>
      <c r="J974"/>
      <c r="K974"/>
      <c r="L974"/>
    </row>
    <row r="975" spans="1:12" customHeight="1" ht="11.25">
      <c r="A975"/>
      <c r="B975"/>
      <c r="C975"/>
      <c r="D975"/>
      <c r="E975"/>
      <c r="F975"/>
      <c r="G975"/>
      <c r="H975"/>
      <c r="I975"/>
      <c r="J975"/>
      <c r="K975"/>
      <c r="L975"/>
    </row>
    <row r="976" spans="1:12" customHeight="1" ht="11.25">
      <c r="A976"/>
      <c r="B976"/>
      <c r="C976"/>
      <c r="D976"/>
      <c r="E976"/>
      <c r="F976"/>
      <c r="G976"/>
      <c r="H976"/>
      <c r="I976"/>
      <c r="J976"/>
      <c r="K976"/>
      <c r="L976"/>
    </row>
    <row r="977" spans="1:12" customHeight="1" ht="11.25">
      <c r="A977"/>
      <c r="B977"/>
      <c r="C977"/>
      <c r="D977"/>
      <c r="E977"/>
      <c r="F977"/>
      <c r="G977"/>
      <c r="H977"/>
      <c r="I977"/>
      <c r="J977"/>
      <c r="K977"/>
      <c r="L977"/>
    </row>
    <row r="978" spans="1:12" customHeight="1" ht="11.25">
      <c r="A978"/>
      <c r="B978"/>
      <c r="C978"/>
      <c r="D978"/>
      <c r="E978"/>
      <c r="F978"/>
      <c r="G978"/>
      <c r="H978"/>
      <c r="I978"/>
      <c r="J978"/>
      <c r="K978"/>
      <c r="L978"/>
    </row>
    <row r="979" spans="1:12" customHeight="1" ht="11.25">
      <c r="A979"/>
      <c r="B979"/>
      <c r="C979"/>
      <c r="D979"/>
      <c r="E979"/>
      <c r="F979"/>
      <c r="G979"/>
      <c r="H979"/>
      <c r="I979"/>
      <c r="J979"/>
      <c r="K979"/>
      <c r="L979"/>
    </row>
    <row r="980" spans="1:12" customHeight="1" ht="11.25">
      <c r="A980"/>
      <c r="B980"/>
      <c r="C980"/>
      <c r="D980"/>
      <c r="E980"/>
      <c r="F980"/>
      <c r="G980"/>
      <c r="H980"/>
      <c r="I980"/>
      <c r="J980"/>
      <c r="K980"/>
      <c r="L980"/>
    </row>
    <row r="981" spans="1:12" customHeight="1" ht="11.25">
      <c r="A981"/>
      <c r="B981"/>
      <c r="C981"/>
      <c r="D981"/>
      <c r="E981"/>
      <c r="F981"/>
      <c r="G981"/>
      <c r="H981"/>
      <c r="I981"/>
      <c r="J981"/>
      <c r="K981"/>
      <c r="L981"/>
    </row>
    <row r="982" spans="1:12" customHeight="1" ht="11.25">
      <c r="A982"/>
      <c r="B982"/>
      <c r="C982"/>
      <c r="D982"/>
      <c r="E982"/>
      <c r="F982"/>
      <c r="G982"/>
      <c r="H982"/>
      <c r="I982"/>
      <c r="J982"/>
      <c r="K982"/>
      <c r="L982"/>
    </row>
    <row r="983" spans="1:12" customHeight="1" ht="11.25">
      <c r="A983"/>
      <c r="B983"/>
      <c r="C983"/>
      <c r="D983"/>
      <c r="E983"/>
      <c r="F983"/>
      <c r="G983"/>
      <c r="H983"/>
      <c r="I983"/>
      <c r="J983"/>
      <c r="K983"/>
      <c r="L983"/>
    </row>
    <row r="984" spans="1:12" customHeight="1" ht="11.25">
      <c r="A984"/>
      <c r="B984"/>
      <c r="C984"/>
      <c r="D984"/>
      <c r="E984"/>
      <c r="F984"/>
      <c r="G984"/>
      <c r="H984"/>
      <c r="I984"/>
      <c r="J984"/>
      <c r="K984"/>
      <c r="L984"/>
    </row>
    <row r="985" spans="1:12" customHeight="1" ht="11.25">
      <c r="A985"/>
      <c r="B985"/>
      <c r="C985"/>
      <c r="D985"/>
      <c r="E985"/>
      <c r="F985"/>
      <c r="G985"/>
      <c r="H985"/>
      <c r="I985"/>
      <c r="J985"/>
      <c r="K985"/>
      <c r="L985"/>
    </row>
    <row r="986" spans="1:12" customHeight="1" ht="11.25">
      <c r="A986"/>
      <c r="B986"/>
      <c r="C986"/>
      <c r="D986"/>
      <c r="E986"/>
      <c r="F986"/>
      <c r="G986"/>
      <c r="H986"/>
      <c r="I986"/>
      <c r="J986"/>
      <c r="K986"/>
      <c r="L986"/>
    </row>
    <row r="987" spans="1:12" customHeight="1" ht="11.25">
      <c r="A987"/>
      <c r="B987"/>
      <c r="C987"/>
      <c r="D987"/>
      <c r="E987"/>
      <c r="F987"/>
      <c r="G987"/>
      <c r="H987"/>
      <c r="I987"/>
      <c r="J987"/>
      <c r="K987"/>
      <c r="L987"/>
    </row>
    <row r="988" spans="1:12" customHeight="1" ht="11.25">
      <c r="A988"/>
      <c r="B988"/>
      <c r="C988"/>
      <c r="D988"/>
      <c r="E988"/>
      <c r="F988"/>
      <c r="G988"/>
      <c r="H988"/>
      <c r="I988"/>
      <c r="J988"/>
      <c r="K988"/>
      <c r="L988"/>
    </row>
    <row r="989" spans="1:12" customHeight="1" ht="11.25">
      <c r="A989"/>
      <c r="B989"/>
      <c r="C989"/>
      <c r="D989"/>
      <c r="E989"/>
      <c r="F989"/>
      <c r="G989"/>
      <c r="H989"/>
      <c r="I989"/>
      <c r="J989"/>
      <c r="K989"/>
      <c r="L989"/>
    </row>
    <row r="990" spans="1:12" customHeight="1" ht="11.25">
      <c r="A990"/>
      <c r="B990"/>
      <c r="C990"/>
      <c r="D990"/>
      <c r="E990"/>
      <c r="F990"/>
      <c r="G990"/>
      <c r="H990"/>
      <c r="I990"/>
      <c r="J990"/>
      <c r="K990"/>
      <c r="L990"/>
    </row>
    <row r="991" spans="1:12" customHeight="1" ht="11.25">
      <c r="A991"/>
      <c r="B991"/>
      <c r="C991"/>
      <c r="D991"/>
      <c r="E991"/>
      <c r="F991"/>
      <c r="G991"/>
      <c r="H991"/>
      <c r="I991"/>
      <c r="J991"/>
      <c r="K991"/>
      <c r="L991"/>
    </row>
    <row r="992" spans="1:12" customHeight="1" ht="11.25">
      <c r="A992"/>
      <c r="B992"/>
      <c r="C992"/>
      <c r="D992"/>
      <c r="E992"/>
      <c r="F992"/>
      <c r="G992"/>
      <c r="H992"/>
      <c r="I992"/>
      <c r="J992"/>
      <c r="K992"/>
      <c r="L992"/>
    </row>
    <row r="993" spans="1:12" customHeight="1" ht="11.25">
      <c r="A993"/>
      <c r="B993"/>
      <c r="C993"/>
      <c r="D993"/>
      <c r="E993"/>
      <c r="F993"/>
      <c r="G993"/>
      <c r="H993"/>
      <c r="I993"/>
      <c r="J993"/>
      <c r="K993"/>
      <c r="L993"/>
    </row>
    <row r="994" spans="1:12" customHeight="1" ht="11.25">
      <c r="A994"/>
      <c r="B994"/>
      <c r="C994"/>
      <c r="D994"/>
      <c r="E994"/>
      <c r="F994"/>
      <c r="G994"/>
      <c r="H994"/>
      <c r="I994"/>
      <c r="J994"/>
      <c r="K994"/>
      <c r="L994"/>
    </row>
    <row r="995" spans="1:12" customHeight="1" ht="11.25">
      <c r="A995"/>
      <c r="B995"/>
      <c r="C995"/>
      <c r="D995"/>
      <c r="E995"/>
      <c r="F995"/>
      <c r="G995"/>
      <c r="H995"/>
      <c r="I995"/>
      <c r="J995"/>
      <c r="K995"/>
      <c r="L995"/>
    </row>
    <row r="996" spans="1:12" customHeight="1" ht="11.25">
      <c r="A996"/>
      <c r="B996"/>
      <c r="C996"/>
      <c r="D996"/>
      <c r="E996"/>
      <c r="F996"/>
      <c r="G996"/>
      <c r="H996"/>
      <c r="I996"/>
      <c r="J996"/>
      <c r="K996"/>
      <c r="L996"/>
    </row>
    <row r="997" spans="1:12" customHeight="1" ht="11.25">
      <c r="A997"/>
      <c r="B997"/>
      <c r="C997"/>
      <c r="D997"/>
      <c r="E997"/>
      <c r="F997"/>
      <c r="G997"/>
      <c r="H997"/>
      <c r="I997"/>
      <c r="J997"/>
      <c r="K997"/>
      <c r="L997"/>
    </row>
    <row r="998" spans="1:12" customHeight="1" ht="11.25">
      <c r="A998"/>
      <c r="B998"/>
      <c r="C998"/>
      <c r="D998"/>
      <c r="E998"/>
      <c r="F998"/>
      <c r="G998"/>
      <c r="H998"/>
      <c r="I998"/>
      <c r="J998"/>
      <c r="K998"/>
      <c r="L998"/>
    </row>
    <row r="999" spans="1:12" customHeight="1" ht="11.25">
      <c r="A999"/>
      <c r="B999"/>
      <c r="C999"/>
      <c r="D999"/>
      <c r="E999"/>
      <c r="F999"/>
      <c r="G999"/>
      <c r="H999"/>
      <c r="I999"/>
      <c r="J999"/>
      <c r="K999"/>
      <c r="L999"/>
    </row>
    <row r="1000" spans="1:12" customHeight="1" ht="11.25">
      <c r="A1000"/>
      <c r="B1000"/>
      <c r="C1000"/>
      <c r="D1000"/>
      <c r="E1000"/>
      <c r="F1000"/>
      <c r="G1000"/>
      <c r="H1000"/>
      <c r="I1000"/>
      <c r="J1000"/>
      <c r="K1000"/>
      <c r="L1000"/>
    </row>
    <row r="1001" spans="1:12" customHeight="1" ht="11.25">
      <c r="A1001"/>
      <c r="B1001"/>
      <c r="C1001"/>
      <c r="D1001"/>
      <c r="E1001"/>
      <c r="F1001"/>
      <c r="G1001"/>
      <c r="H1001"/>
      <c r="I1001"/>
      <c r="J1001"/>
      <c r="K1001"/>
      <c r="L1001"/>
    </row>
    <row r="1002" spans="1:12" customHeight="1" ht="11.25">
      <c r="A1002"/>
      <c r="B1002"/>
      <c r="C1002"/>
      <c r="D1002"/>
      <c r="E1002"/>
      <c r="F1002"/>
      <c r="G1002"/>
      <c r="H1002"/>
      <c r="I1002"/>
      <c r="J1002"/>
      <c r="K1002"/>
      <c r="L1002"/>
    </row>
    <row r="1003" spans="1:12" customHeight="1" ht="11.25">
      <c r="A1003"/>
      <c r="B1003"/>
      <c r="C1003"/>
      <c r="D1003"/>
      <c r="E1003"/>
      <c r="F1003"/>
      <c r="G1003"/>
      <c r="H1003"/>
      <c r="I1003"/>
      <c r="J1003"/>
      <c r="K1003"/>
      <c r="L1003"/>
    </row>
    <row r="1004" spans="1:12" customHeight="1" ht="11.25">
      <c r="A1004"/>
      <c r="B1004"/>
      <c r="C1004"/>
      <c r="D1004"/>
      <c r="E1004"/>
      <c r="F1004"/>
      <c r="G1004"/>
      <c r="H1004"/>
      <c r="I1004"/>
      <c r="J1004"/>
      <c r="K1004"/>
      <c r="L1004"/>
    </row>
    <row r="1005" spans="1:12" customHeight="1" ht="11.25">
      <c r="A1005"/>
      <c r="B1005"/>
      <c r="C1005"/>
      <c r="D1005"/>
      <c r="E1005"/>
      <c r="F1005"/>
      <c r="G1005"/>
      <c r="H1005"/>
      <c r="I1005"/>
      <c r="J1005"/>
      <c r="K1005"/>
      <c r="L1005"/>
    </row>
    <row r="1006" spans="1:12" customHeight="1" ht="11.25">
      <c r="A1006"/>
      <c r="B1006"/>
      <c r="C1006"/>
      <c r="D1006"/>
      <c r="E1006"/>
      <c r="F1006"/>
      <c r="G1006"/>
      <c r="H1006"/>
      <c r="I1006"/>
      <c r="J1006"/>
      <c r="K1006"/>
      <c r="L1006"/>
    </row>
    <row r="1007" spans="1:12" customHeight="1" ht="11.25">
      <c r="A1007"/>
      <c r="B1007"/>
      <c r="C1007"/>
      <c r="D1007"/>
      <c r="E1007"/>
      <c r="F1007"/>
      <c r="G1007"/>
      <c r="H1007"/>
      <c r="I1007"/>
      <c r="J1007"/>
      <c r="K1007"/>
      <c r="L1007"/>
    </row>
    <row r="1008" spans="1:12" customHeight="1" ht="11.25">
      <c r="A1008"/>
      <c r="B1008"/>
      <c r="C1008"/>
      <c r="D1008"/>
      <c r="E1008"/>
      <c r="F1008"/>
      <c r="G1008"/>
      <c r="H1008"/>
      <c r="I1008"/>
      <c r="J1008"/>
      <c r="K1008"/>
      <c r="L1008"/>
    </row>
    <row r="1009" spans="1:12" customHeight="1" ht="11.25">
      <c r="A1009"/>
      <c r="B1009"/>
      <c r="C1009"/>
      <c r="D1009"/>
      <c r="E1009"/>
      <c r="F1009"/>
      <c r="G1009"/>
      <c r="H1009"/>
      <c r="I1009"/>
      <c r="J1009"/>
      <c r="K1009"/>
      <c r="L1009"/>
    </row>
    <row r="1010" spans="1:12" customHeight="1" ht="11.25">
      <c r="A1010"/>
      <c r="B1010"/>
      <c r="C1010"/>
      <c r="D1010"/>
      <c r="E1010"/>
      <c r="F1010"/>
      <c r="G1010"/>
      <c r="H1010"/>
      <c r="I1010"/>
      <c r="J1010"/>
      <c r="K1010"/>
      <c r="L1010"/>
    </row>
    <row r="1011" spans="1:12" customHeight="1" ht="11.25">
      <c r="A1011"/>
      <c r="B1011"/>
      <c r="C1011"/>
      <c r="D1011"/>
      <c r="E1011"/>
      <c r="F1011"/>
      <c r="G1011"/>
      <c r="H1011"/>
      <c r="I1011"/>
      <c r="J1011"/>
      <c r="K1011"/>
      <c r="L1011"/>
    </row>
    <row r="1012" spans="1:12" customHeight="1" ht="11.25">
      <c r="A1012"/>
      <c r="B1012"/>
      <c r="C1012"/>
      <c r="D1012"/>
      <c r="E1012"/>
      <c r="F1012"/>
      <c r="G1012"/>
      <c r="H1012"/>
      <c r="I1012"/>
      <c r="J1012"/>
      <c r="K1012"/>
      <c r="L1012"/>
    </row>
    <row r="1013" spans="1:12" customHeight="1" ht="11.25">
      <c r="A1013"/>
      <c r="B1013"/>
      <c r="C1013"/>
      <c r="D1013"/>
      <c r="E1013"/>
      <c r="F1013"/>
      <c r="G1013"/>
      <c r="H1013"/>
      <c r="I1013"/>
      <c r="J1013"/>
      <c r="K1013"/>
      <c r="L1013"/>
    </row>
    <row r="1014" spans="1:12" customHeight="1" ht="11.25">
      <c r="A1014"/>
      <c r="B1014"/>
      <c r="C1014"/>
      <c r="D1014"/>
      <c r="E1014"/>
      <c r="F1014"/>
      <c r="G1014"/>
      <c r="H1014"/>
      <c r="I1014"/>
      <c r="J1014"/>
      <c r="K1014"/>
      <c r="L1014"/>
    </row>
    <row r="1015" spans="1:12" customHeight="1" ht="11.25">
      <c r="A1015"/>
      <c r="B1015"/>
      <c r="C1015"/>
      <c r="D1015"/>
      <c r="E1015"/>
      <c r="F1015"/>
      <c r="G1015"/>
      <c r="H1015"/>
      <c r="I1015"/>
      <c r="J1015"/>
      <c r="K1015"/>
      <c r="L1015"/>
    </row>
    <row r="1016" spans="1:12" customHeight="1" ht="11.25">
      <c r="A1016"/>
      <c r="B1016"/>
      <c r="C1016"/>
      <c r="D1016"/>
      <c r="E1016"/>
      <c r="F1016"/>
      <c r="G1016"/>
      <c r="H1016"/>
      <c r="I1016"/>
      <c r="J1016"/>
      <c r="K1016"/>
      <c r="L1016"/>
    </row>
    <row r="1017" spans="1:12" customHeight="1" ht="11.25">
      <c r="A1017"/>
      <c r="B1017"/>
      <c r="C1017"/>
      <c r="D1017"/>
      <c r="E1017"/>
      <c r="F1017"/>
      <c r="G1017"/>
      <c r="H1017"/>
      <c r="I1017"/>
      <c r="J1017"/>
      <c r="K1017"/>
      <c r="L1017"/>
    </row>
    <row r="1018" spans="1:12" customHeight="1" ht="11.25">
      <c r="A1018"/>
      <c r="B1018"/>
      <c r="C1018"/>
      <c r="D1018"/>
      <c r="E1018"/>
      <c r="F1018"/>
      <c r="G1018"/>
      <c r="H1018"/>
      <c r="I1018"/>
      <c r="J1018"/>
      <c r="K1018"/>
      <c r="L1018"/>
    </row>
    <row r="1019" spans="1:12" customHeight="1" ht="11.25">
      <c r="A1019"/>
      <c r="B1019"/>
      <c r="C1019"/>
      <c r="D1019"/>
      <c r="E1019"/>
      <c r="F1019"/>
      <c r="G1019"/>
      <c r="H1019"/>
      <c r="I1019"/>
      <c r="J1019"/>
      <c r="K1019"/>
      <c r="L1019"/>
    </row>
    <row r="1020" spans="1:12" customHeight="1" ht="11.25">
      <c r="A1020"/>
      <c r="B1020"/>
      <c r="C1020"/>
      <c r="D1020"/>
      <c r="E1020"/>
      <c r="F1020"/>
      <c r="G1020"/>
      <c r="H1020"/>
      <c r="I1020"/>
      <c r="J1020"/>
      <c r="K1020"/>
      <c r="L1020"/>
    </row>
    <row r="1021" spans="1:12" customHeight="1" ht="11.25">
      <c r="A1021"/>
      <c r="B1021"/>
      <c r="C1021"/>
      <c r="D1021"/>
      <c r="E1021"/>
      <c r="F1021"/>
      <c r="G1021"/>
      <c r="H1021"/>
      <c r="I1021"/>
      <c r="J1021"/>
      <c r="K1021"/>
      <c r="L1021"/>
    </row>
    <row r="1022" spans="1:12" customHeight="1" ht="11.25">
      <c r="A1022"/>
      <c r="B1022"/>
      <c r="C1022"/>
      <c r="D1022"/>
      <c r="E1022"/>
      <c r="F1022"/>
      <c r="G1022"/>
      <c r="H1022"/>
      <c r="I1022"/>
      <c r="J1022"/>
      <c r="K1022"/>
      <c r="L1022"/>
    </row>
    <row r="1023" spans="1:12" customHeight="1" ht="11.25">
      <c r="A1023"/>
      <c r="B1023"/>
      <c r="C1023"/>
      <c r="D1023"/>
      <c r="E1023"/>
      <c r="F1023"/>
      <c r="G1023"/>
      <c r="H1023"/>
      <c r="I1023"/>
      <c r="J1023"/>
      <c r="K1023"/>
      <c r="L1023"/>
    </row>
    <row r="1024" spans="1:12" customHeight="1" ht="11.25">
      <c r="A1024"/>
      <c r="B1024"/>
      <c r="C1024"/>
      <c r="D1024"/>
      <c r="E1024"/>
      <c r="F1024"/>
      <c r="G1024"/>
      <c r="H1024"/>
      <c r="I1024"/>
      <c r="J1024"/>
      <c r="K1024"/>
      <c r="L1024"/>
    </row>
    <row r="1025" spans="1:12" customHeight="1" ht="11.25">
      <c r="A1025"/>
      <c r="B1025"/>
      <c r="C1025"/>
      <c r="D1025"/>
      <c r="E1025"/>
      <c r="F1025"/>
      <c r="G1025"/>
      <c r="H1025"/>
      <c r="I1025"/>
      <c r="J1025"/>
      <c r="K1025"/>
      <c r="L1025"/>
    </row>
    <row r="1026" spans="1:12" customHeight="1" ht="11.25">
      <c r="A1026"/>
      <c r="B1026"/>
      <c r="C1026"/>
      <c r="D1026"/>
      <c r="E1026"/>
      <c r="F1026"/>
      <c r="G1026"/>
      <c r="H1026"/>
      <c r="I1026"/>
      <c r="J1026"/>
      <c r="K1026"/>
      <c r="L1026"/>
    </row>
    <row r="1027" spans="1:12" customHeight="1" ht="11.25">
      <c r="A1027"/>
      <c r="B1027"/>
      <c r="C1027"/>
      <c r="D1027"/>
      <c r="E1027"/>
      <c r="F1027"/>
      <c r="G1027"/>
      <c r="H1027"/>
      <c r="I1027"/>
      <c r="J1027"/>
      <c r="K1027"/>
      <c r="L1027"/>
    </row>
    <row r="1028" spans="1:12" customHeight="1" ht="11.25">
      <c r="A1028"/>
      <c r="B1028"/>
      <c r="C1028"/>
      <c r="D1028"/>
      <c r="E1028"/>
      <c r="F1028"/>
      <c r="G1028"/>
      <c r="H1028"/>
      <c r="I1028"/>
      <c r="J1028"/>
      <c r="K1028"/>
      <c r="L1028"/>
    </row>
    <row r="1029" spans="1:12" customHeight="1" ht="11.25">
      <c r="A1029"/>
      <c r="B1029"/>
      <c r="C1029"/>
      <c r="D1029"/>
      <c r="E1029"/>
      <c r="F1029"/>
      <c r="G1029"/>
      <c r="H1029"/>
      <c r="I1029"/>
      <c r="J1029"/>
      <c r="K1029"/>
      <c r="L1029"/>
    </row>
    <row r="1030" spans="1:12" customHeight="1" ht="11.25">
      <c r="A1030"/>
      <c r="B1030"/>
      <c r="C1030"/>
      <c r="D1030"/>
      <c r="E1030"/>
      <c r="F1030"/>
      <c r="G1030"/>
      <c r="H1030"/>
      <c r="I1030"/>
      <c r="J1030"/>
      <c r="K1030"/>
      <c r="L1030"/>
    </row>
    <row r="1031" spans="1:12" customHeight="1" ht="11.25">
      <c r="A1031"/>
      <c r="B1031"/>
      <c r="C1031"/>
      <c r="D1031"/>
      <c r="E1031"/>
      <c r="F1031"/>
      <c r="G1031"/>
      <c r="H1031"/>
      <c r="I1031"/>
      <c r="J1031"/>
      <c r="K1031"/>
      <c r="L1031"/>
    </row>
    <row r="1032" spans="1:12" customHeight="1" ht="11.25">
      <c r="A1032"/>
      <c r="B1032"/>
      <c r="C1032"/>
      <c r="D1032"/>
      <c r="E1032"/>
      <c r="F1032"/>
      <c r="G1032"/>
      <c r="H1032"/>
      <c r="I1032"/>
      <c r="J1032"/>
      <c r="K1032"/>
      <c r="L1032"/>
    </row>
    <row r="1033" spans="1:12" customHeight="1" ht="11.25">
      <c r="A1033"/>
      <c r="B1033"/>
      <c r="C1033"/>
      <c r="D1033"/>
      <c r="E1033"/>
      <c r="F1033"/>
      <c r="G1033"/>
      <c r="H1033"/>
      <c r="I1033"/>
      <c r="J1033"/>
      <c r="K1033"/>
      <c r="L1033"/>
    </row>
    <row r="1034" spans="1:12" customHeight="1" ht="11.25">
      <c r="A1034"/>
      <c r="B1034"/>
      <c r="C1034"/>
      <c r="D1034"/>
      <c r="E1034"/>
      <c r="F1034"/>
      <c r="G1034"/>
      <c r="H1034"/>
      <c r="I1034"/>
      <c r="J1034"/>
      <c r="K1034"/>
      <c r="L1034"/>
    </row>
    <row r="1035" spans="1:12" customHeight="1" ht="11.25">
      <c r="A1035"/>
      <c r="B1035"/>
      <c r="C1035"/>
      <c r="D1035"/>
      <c r="E1035"/>
      <c r="F1035"/>
      <c r="G1035"/>
      <c r="H1035"/>
      <c r="I1035"/>
      <c r="J1035"/>
      <c r="K1035"/>
      <c r="L1035"/>
    </row>
    <row r="1036" spans="1:12" customHeight="1" ht="11.25">
      <c r="A1036"/>
      <c r="B1036"/>
      <c r="C1036"/>
      <c r="D1036"/>
      <c r="E1036"/>
      <c r="F1036"/>
      <c r="G1036"/>
      <c r="H1036"/>
      <c r="I1036"/>
      <c r="J1036"/>
      <c r="K1036"/>
      <c r="L1036"/>
    </row>
    <row r="1037" spans="1:12" customHeight="1" ht="11.25">
      <c r="A1037"/>
      <c r="B1037"/>
      <c r="C1037"/>
      <c r="D1037"/>
      <c r="E1037"/>
      <c r="F1037"/>
      <c r="G1037"/>
      <c r="H1037"/>
      <c r="I1037"/>
      <c r="J1037"/>
      <c r="K1037"/>
      <c r="L1037"/>
    </row>
    <row r="1038" spans="1:12" customHeight="1" ht="11.25">
      <c r="A1038"/>
      <c r="B1038"/>
      <c r="C1038"/>
      <c r="D1038"/>
      <c r="E1038"/>
      <c r="F1038"/>
      <c r="G1038"/>
      <c r="H1038"/>
      <c r="I1038"/>
      <c r="J1038"/>
      <c r="K1038"/>
      <c r="L1038"/>
    </row>
    <row r="1039" spans="1:12" customHeight="1" ht="11.25">
      <c r="A1039"/>
      <c r="B1039"/>
      <c r="C1039"/>
      <c r="D1039"/>
      <c r="E1039"/>
      <c r="F1039"/>
      <c r="G1039"/>
      <c r="H1039"/>
      <c r="I1039"/>
      <c r="J1039"/>
      <c r="K1039"/>
      <c r="L1039"/>
    </row>
    <row r="1040" spans="1:12" customHeight="1" ht="11.25">
      <c r="A1040"/>
      <c r="B1040"/>
      <c r="C1040"/>
      <c r="D1040"/>
      <c r="E1040"/>
      <c r="F1040"/>
      <c r="G1040"/>
      <c r="H1040"/>
      <c r="I1040"/>
      <c r="J1040"/>
      <c r="K1040"/>
      <c r="L1040"/>
    </row>
    <row r="1041" spans="1:12" customHeight="1" ht="11.25">
      <c r="A1041"/>
      <c r="B1041"/>
      <c r="C1041"/>
      <c r="D1041"/>
      <c r="E1041"/>
      <c r="F1041"/>
      <c r="G1041"/>
      <c r="H1041"/>
      <c r="I1041"/>
      <c r="J1041"/>
      <c r="K1041"/>
      <c r="L1041"/>
    </row>
    <row r="1042" spans="1:12" customHeight="1" ht="11.25">
      <c r="A1042"/>
      <c r="B1042"/>
      <c r="C1042"/>
      <c r="D1042"/>
      <c r="E1042"/>
      <c r="F1042"/>
      <c r="G1042"/>
      <c r="H1042"/>
      <c r="I1042"/>
      <c r="J1042"/>
      <c r="K1042"/>
      <c r="L1042"/>
    </row>
    <row r="1043" spans="1:12" customHeight="1" ht="11.25">
      <c r="A1043"/>
      <c r="B1043"/>
      <c r="C1043"/>
      <c r="D1043"/>
      <c r="E1043"/>
      <c r="F1043"/>
      <c r="G1043"/>
      <c r="H1043"/>
      <c r="I1043"/>
      <c r="J1043"/>
      <c r="K1043"/>
      <c r="L1043"/>
    </row>
    <row r="1044" spans="1:12" customHeight="1" ht="11.25">
      <c r="A1044"/>
      <c r="B1044"/>
      <c r="C1044"/>
      <c r="D1044"/>
      <c r="E1044"/>
      <c r="F1044"/>
      <c r="G1044"/>
      <c r="H1044"/>
      <c r="I1044"/>
      <c r="J1044"/>
      <c r="K1044"/>
      <c r="L1044"/>
    </row>
    <row r="1045" spans="1:12" customHeight="1" ht="11.25">
      <c r="A1045"/>
      <c r="B1045"/>
      <c r="C1045"/>
      <c r="D1045"/>
      <c r="E1045"/>
      <c r="F1045"/>
      <c r="G1045"/>
      <c r="H1045"/>
      <c r="I1045"/>
      <c r="J1045"/>
      <c r="K1045"/>
      <c r="L1045"/>
    </row>
    <row r="1046" spans="1:12" customHeight="1" ht="11.25">
      <c r="A1046"/>
      <c r="B1046"/>
      <c r="C1046"/>
      <c r="D1046"/>
      <c r="E1046"/>
      <c r="F1046"/>
      <c r="G1046"/>
      <c r="H1046"/>
      <c r="I1046"/>
      <c r="J1046"/>
      <c r="K1046"/>
      <c r="L1046"/>
    </row>
    <row r="1047" spans="1:12" customHeight="1" ht="11.25">
      <c r="A1047"/>
      <c r="B1047"/>
      <c r="C1047"/>
      <c r="D1047"/>
      <c r="E1047"/>
      <c r="F1047"/>
      <c r="G1047"/>
      <c r="H1047"/>
      <c r="I1047"/>
      <c r="J1047"/>
      <c r="K1047"/>
      <c r="L1047"/>
    </row>
    <row r="1048" spans="1:12" customHeight="1" ht="11.25">
      <c r="A1048"/>
      <c r="B1048"/>
      <c r="C1048"/>
      <c r="D1048"/>
      <c r="E1048"/>
      <c r="F1048"/>
      <c r="G1048"/>
      <c r="H1048"/>
      <c r="I1048"/>
      <c r="J1048"/>
      <c r="K1048"/>
      <c r="L1048"/>
    </row>
    <row r="1049" spans="1:12" customHeight="1" ht="11.25">
      <c r="A1049"/>
      <c r="B1049"/>
      <c r="C1049"/>
      <c r="D1049"/>
      <c r="E1049"/>
      <c r="F1049"/>
      <c r="G1049"/>
      <c r="H1049"/>
      <c r="I1049"/>
      <c r="J1049"/>
      <c r="K1049"/>
      <c r="L1049"/>
    </row>
    <row r="1050" spans="1:12" customHeight="1" ht="11.25">
      <c r="A1050"/>
      <c r="B1050"/>
      <c r="C1050"/>
      <c r="D1050"/>
      <c r="E1050"/>
      <c r="F1050"/>
      <c r="G1050"/>
      <c r="H1050"/>
      <c r="I1050"/>
      <c r="J1050"/>
      <c r="K1050"/>
      <c r="L1050"/>
    </row>
    <row r="1051" spans="1:12" customHeight="1" ht="11.25">
      <c r="A1051"/>
      <c r="B1051"/>
      <c r="C1051"/>
      <c r="D1051"/>
      <c r="E1051"/>
      <c r="F1051"/>
      <c r="G1051"/>
      <c r="H1051"/>
      <c r="I1051"/>
      <c r="J1051"/>
      <c r="K1051"/>
      <c r="L1051"/>
    </row>
    <row r="1052" spans="1:12" customHeight="1" ht="11.25">
      <c r="A1052"/>
      <c r="B1052"/>
      <c r="C1052"/>
      <c r="D1052"/>
      <c r="E1052"/>
      <c r="F1052"/>
      <c r="G1052"/>
      <c r="H1052"/>
      <c r="I1052"/>
      <c r="J1052"/>
      <c r="K1052"/>
      <c r="L1052"/>
    </row>
    <row r="1053" spans="1:12" customHeight="1" ht="11.25">
      <c r="A1053"/>
      <c r="B1053"/>
      <c r="C1053"/>
      <c r="D1053"/>
      <c r="E1053"/>
      <c r="F1053"/>
      <c r="G1053"/>
      <c r="H1053"/>
      <c r="I1053"/>
      <c r="J1053"/>
      <c r="K1053"/>
      <c r="L1053"/>
    </row>
    <row r="1054" spans="1:12" customHeight="1" ht="11.25">
      <c r="A1054"/>
      <c r="B1054"/>
      <c r="C1054"/>
      <c r="D1054"/>
      <c r="E1054"/>
      <c r="F1054"/>
      <c r="G1054"/>
      <c r="H1054"/>
      <c r="I1054"/>
      <c r="J1054"/>
      <c r="K1054"/>
      <c r="L1054"/>
    </row>
    <row r="1055" spans="1:12" customHeight="1" ht="11.25">
      <c r="A1055"/>
      <c r="B1055"/>
      <c r="C1055"/>
      <c r="D1055"/>
      <c r="E1055"/>
      <c r="F1055"/>
      <c r="G1055"/>
      <c r="H1055"/>
      <c r="I1055"/>
      <c r="J1055"/>
      <c r="K1055"/>
      <c r="L1055"/>
    </row>
    <row r="1056" spans="1:12" customHeight="1" ht="11.25">
      <c r="A1056"/>
      <c r="B1056"/>
      <c r="C1056"/>
      <c r="D1056"/>
      <c r="E1056"/>
      <c r="F1056"/>
      <c r="G1056"/>
      <c r="H1056"/>
      <c r="I1056"/>
      <c r="J1056"/>
      <c r="K1056"/>
      <c r="L1056"/>
    </row>
    <row r="1057" spans="1:12" customHeight="1" ht="11.25">
      <c r="A1057"/>
      <c r="B1057"/>
      <c r="C1057"/>
      <c r="D1057"/>
      <c r="E1057"/>
      <c r="F1057"/>
      <c r="G1057"/>
      <c r="H1057"/>
      <c r="I1057"/>
      <c r="J1057"/>
      <c r="K1057"/>
      <c r="L1057"/>
    </row>
    <row r="1058" spans="1:12" customHeight="1" ht="11.25">
      <c r="A1058"/>
      <c r="B1058"/>
      <c r="C1058"/>
      <c r="D1058"/>
      <c r="E1058"/>
      <c r="F1058"/>
      <c r="G1058"/>
      <c r="H1058"/>
      <c r="I1058"/>
      <c r="J1058"/>
      <c r="K1058"/>
      <c r="L1058"/>
    </row>
    <row r="1059" spans="1:12" customHeight="1" ht="11.25">
      <c r="A1059"/>
      <c r="B1059"/>
      <c r="C1059"/>
      <c r="D1059"/>
      <c r="E1059"/>
      <c r="F1059"/>
      <c r="G1059"/>
      <c r="H1059"/>
      <c r="I1059"/>
      <c r="J1059"/>
      <c r="K1059"/>
      <c r="L1059"/>
    </row>
    <row r="1060" spans="1:12" customHeight="1" ht="11.25">
      <c r="A1060"/>
      <c r="B1060"/>
      <c r="C1060"/>
      <c r="D1060"/>
      <c r="E1060"/>
      <c r="F1060"/>
      <c r="G1060"/>
      <c r="H1060"/>
      <c r="I1060"/>
      <c r="J1060"/>
      <c r="K1060"/>
      <c r="L1060"/>
    </row>
    <row r="1061" spans="1:12" customHeight="1" ht="11.25">
      <c r="A1061"/>
      <c r="B1061"/>
      <c r="C1061"/>
      <c r="D1061"/>
      <c r="E1061"/>
      <c r="F1061"/>
      <c r="G1061"/>
      <c r="H1061"/>
      <c r="I1061"/>
      <c r="J1061"/>
      <c r="K1061"/>
      <c r="L1061"/>
    </row>
    <row r="1062" spans="1:12" customHeight="1" ht="11.25">
      <c r="A1062"/>
      <c r="B1062"/>
      <c r="C1062"/>
      <c r="D1062"/>
      <c r="E1062"/>
      <c r="F1062"/>
      <c r="G1062"/>
      <c r="H1062"/>
      <c r="I1062"/>
      <c r="J1062"/>
      <c r="K1062"/>
      <c r="L1062"/>
    </row>
    <row r="1063" spans="1:12" customHeight="1" ht="11.25">
      <c r="A1063"/>
      <c r="B1063"/>
      <c r="C1063"/>
      <c r="D1063"/>
      <c r="E1063"/>
      <c r="F1063"/>
      <c r="G1063"/>
      <c r="H1063"/>
      <c r="I1063"/>
      <c r="J1063"/>
      <c r="K1063"/>
      <c r="L1063"/>
    </row>
    <row r="1064" spans="1:12" customHeight="1" ht="11.25">
      <c r="A1064"/>
      <c r="B1064"/>
      <c r="C1064"/>
      <c r="D1064"/>
      <c r="E1064"/>
      <c r="F1064"/>
      <c r="G1064"/>
      <c r="H1064"/>
      <c r="I1064"/>
      <c r="J1064"/>
      <c r="K1064"/>
      <c r="L1064"/>
    </row>
    <row r="1065" spans="1:12" customHeight="1" ht="11.25">
      <c r="A1065"/>
      <c r="B1065"/>
      <c r="C1065"/>
      <c r="D1065"/>
      <c r="E1065"/>
      <c r="F1065"/>
      <c r="G1065"/>
      <c r="H1065"/>
      <c r="I1065"/>
      <c r="J1065"/>
      <c r="K1065"/>
      <c r="L1065"/>
    </row>
    <row r="1066" spans="1:12" customHeight="1" ht="11.25">
      <c r="A1066"/>
      <c r="B1066"/>
      <c r="C1066"/>
      <c r="D1066"/>
      <c r="E1066"/>
      <c r="F1066"/>
      <c r="G1066"/>
      <c r="H1066"/>
      <c r="I1066"/>
      <c r="J1066"/>
      <c r="K1066"/>
      <c r="L1066"/>
    </row>
    <row r="1067" spans="1:12" customHeight="1" ht="11.25">
      <c r="A1067"/>
      <c r="B1067"/>
      <c r="C1067"/>
      <c r="D1067"/>
      <c r="E1067"/>
      <c r="F1067"/>
      <c r="G1067"/>
      <c r="H1067"/>
      <c r="I1067"/>
      <c r="J1067"/>
      <c r="K1067"/>
      <c r="L1067"/>
    </row>
    <row r="1068" spans="1:12" customHeight="1" ht="11.25">
      <c r="A1068"/>
      <c r="B1068"/>
      <c r="C1068"/>
      <c r="D1068"/>
      <c r="E1068"/>
      <c r="F1068"/>
      <c r="G1068"/>
      <c r="H1068"/>
      <c r="I1068"/>
      <c r="J1068"/>
      <c r="K1068"/>
      <c r="L1068"/>
    </row>
    <row r="1069" spans="1:12" customHeight="1" ht="11.25">
      <c r="A1069"/>
      <c r="B1069"/>
      <c r="C1069"/>
      <c r="D1069"/>
      <c r="E1069"/>
      <c r="F1069"/>
      <c r="G1069"/>
      <c r="H1069"/>
      <c r="I1069"/>
      <c r="J1069"/>
      <c r="K1069"/>
      <c r="L1069"/>
    </row>
    <row r="1070" spans="1:12" customHeight="1" ht="11.25">
      <c r="A1070"/>
      <c r="B1070"/>
      <c r="C1070"/>
      <c r="D1070"/>
      <c r="E1070"/>
      <c r="F1070"/>
      <c r="G1070"/>
      <c r="H1070"/>
      <c r="I1070"/>
      <c r="J1070"/>
      <c r="K1070"/>
      <c r="L1070"/>
    </row>
    <row r="1071" spans="1:12" customHeight="1" ht="11.25">
      <c r="A1071"/>
      <c r="B1071"/>
      <c r="C1071"/>
      <c r="D1071"/>
      <c r="E1071"/>
      <c r="F1071"/>
      <c r="G1071"/>
      <c r="H1071"/>
      <c r="I1071"/>
      <c r="J1071"/>
      <c r="K1071"/>
      <c r="L1071"/>
    </row>
    <row r="1072" spans="1:12" customHeight="1" ht="11.25">
      <c r="A1072"/>
      <c r="B1072"/>
      <c r="C1072"/>
      <c r="D1072"/>
      <c r="E1072"/>
      <c r="F1072"/>
      <c r="G1072"/>
      <c r="H1072"/>
      <c r="I1072"/>
      <c r="J1072"/>
      <c r="K1072"/>
      <c r="L1072"/>
    </row>
    <row r="1073" spans="1:12" customHeight="1" ht="11.25">
      <c r="A1073"/>
      <c r="B1073"/>
      <c r="C1073"/>
      <c r="D1073"/>
      <c r="E1073"/>
      <c r="F1073"/>
      <c r="G1073"/>
      <c r="H1073"/>
      <c r="I1073"/>
      <c r="J1073"/>
      <c r="K1073"/>
      <c r="L1073"/>
    </row>
    <row r="1074" spans="1:12" customHeight="1" ht="11.25">
      <c r="A1074"/>
      <c r="B1074"/>
      <c r="C1074"/>
      <c r="D1074"/>
      <c r="E1074"/>
      <c r="F1074"/>
      <c r="G1074"/>
      <c r="H1074"/>
      <c r="I1074"/>
      <c r="J1074"/>
      <c r="K1074"/>
      <c r="L1074"/>
    </row>
    <row r="1075" spans="1:12" customHeight="1" ht="11.25">
      <c r="A1075"/>
      <c r="B1075"/>
      <c r="C1075"/>
      <c r="D1075"/>
      <c r="E1075"/>
      <c r="F1075"/>
      <c r="G1075"/>
      <c r="H1075"/>
      <c r="I1075"/>
      <c r="J1075"/>
      <c r="K1075"/>
      <c r="L1075"/>
    </row>
    <row r="1076" spans="1:12" customHeight="1" ht="11.25">
      <c r="A1076"/>
      <c r="B1076"/>
      <c r="C1076"/>
      <c r="D1076"/>
      <c r="E1076"/>
      <c r="F1076"/>
      <c r="G1076"/>
      <c r="H1076"/>
      <c r="I1076"/>
      <c r="J1076"/>
      <c r="K1076"/>
      <c r="L1076"/>
    </row>
    <row r="1077" spans="1:12" customHeight="1" ht="11.25">
      <c r="A1077"/>
      <c r="B1077"/>
      <c r="C1077"/>
      <c r="D1077"/>
      <c r="E1077"/>
      <c r="F1077"/>
      <c r="G1077"/>
      <c r="H1077"/>
      <c r="I1077"/>
      <c r="J1077"/>
      <c r="K1077"/>
      <c r="L1077"/>
    </row>
    <row r="1078" spans="1:12" customHeight="1" ht="11.25">
      <c r="A1078"/>
      <c r="B1078"/>
      <c r="C1078"/>
      <c r="D1078"/>
      <c r="E1078"/>
      <c r="F1078"/>
      <c r="G1078"/>
      <c r="H1078"/>
      <c r="I1078"/>
      <c r="J1078"/>
      <c r="K1078"/>
      <c r="L1078"/>
    </row>
    <row r="1079" spans="1:12" customHeight="1" ht="11.25">
      <c r="A1079"/>
      <c r="B1079"/>
      <c r="C1079"/>
      <c r="D1079"/>
      <c r="E1079"/>
      <c r="F1079"/>
      <c r="G1079"/>
      <c r="H1079"/>
      <c r="I1079"/>
      <c r="J1079"/>
      <c r="K1079"/>
      <c r="L1079"/>
    </row>
    <row r="1080" spans="1:12" customHeight="1" ht="11.25">
      <c r="A1080"/>
      <c r="B1080"/>
      <c r="C1080"/>
      <c r="D1080"/>
      <c r="E1080"/>
      <c r="F1080"/>
      <c r="G1080"/>
      <c r="H1080"/>
      <c r="I1080"/>
      <c r="J1080"/>
      <c r="K1080"/>
      <c r="L1080"/>
    </row>
    <row r="1081" spans="1:12" customHeight="1" ht="11.25">
      <c r="A1081"/>
      <c r="B1081"/>
      <c r="C1081"/>
      <c r="D1081"/>
      <c r="E1081"/>
      <c r="F1081"/>
      <c r="G1081"/>
      <c r="H1081"/>
      <c r="I1081"/>
      <c r="J1081"/>
      <c r="K1081"/>
      <c r="L1081"/>
    </row>
    <row r="1082" spans="1:12" customHeight="1" ht="11.25">
      <c r="A1082"/>
      <c r="B1082"/>
      <c r="C1082"/>
      <c r="D1082"/>
      <c r="E1082"/>
      <c r="F1082"/>
      <c r="G1082"/>
      <c r="H1082"/>
      <c r="I1082"/>
      <c r="J1082"/>
      <c r="K1082"/>
      <c r="L1082"/>
    </row>
    <row r="1083" spans="1:12" customHeight="1" ht="11.25">
      <c r="A1083"/>
      <c r="B1083"/>
      <c r="C1083"/>
      <c r="D1083"/>
      <c r="E1083"/>
      <c r="F1083"/>
      <c r="G1083"/>
      <c r="H1083"/>
      <c r="I1083"/>
      <c r="J1083"/>
      <c r="K1083"/>
      <c r="L1083"/>
    </row>
    <row r="1084" spans="1:12" customHeight="1" ht="11.25">
      <c r="A1084"/>
      <c r="B1084"/>
      <c r="C1084"/>
      <c r="D1084"/>
      <c r="E1084"/>
      <c r="F1084"/>
      <c r="G1084"/>
      <c r="H1084"/>
      <c r="I1084"/>
      <c r="J1084"/>
      <c r="K1084"/>
      <c r="L1084"/>
    </row>
    <row r="1085" spans="1:12" customHeight="1" ht="11.25">
      <c r="A1085"/>
      <c r="B1085"/>
      <c r="C1085"/>
      <c r="D1085"/>
      <c r="E1085"/>
      <c r="F1085"/>
      <c r="G1085"/>
      <c r="H1085"/>
      <c r="I1085"/>
      <c r="J1085"/>
      <c r="K1085"/>
      <c r="L1085"/>
    </row>
    <row r="1086" spans="1:12" customHeight="1" ht="11.25">
      <c r="A1086"/>
      <c r="B1086"/>
      <c r="C1086"/>
      <c r="D1086"/>
      <c r="E1086"/>
      <c r="F1086"/>
      <c r="G1086"/>
      <c r="H1086"/>
      <c r="I1086"/>
      <c r="J1086"/>
      <c r="K1086"/>
      <c r="L1086"/>
    </row>
    <row r="1087" spans="1:12" customHeight="1" ht="11.25">
      <c r="A1087"/>
      <c r="B1087"/>
      <c r="C1087"/>
      <c r="D1087"/>
      <c r="E1087"/>
      <c r="F1087"/>
      <c r="G1087"/>
      <c r="H1087"/>
      <c r="I1087"/>
      <c r="J1087"/>
      <c r="K1087"/>
      <c r="L1087"/>
    </row>
    <row r="1088" spans="1:12" customHeight="1" ht="11.25">
      <c r="A1088"/>
      <c r="B1088"/>
      <c r="C1088"/>
      <c r="D1088"/>
      <c r="E1088"/>
      <c r="F1088"/>
      <c r="G1088"/>
      <c r="H1088"/>
      <c r="I1088"/>
      <c r="J1088"/>
      <c r="K1088"/>
      <c r="L1088"/>
    </row>
    <row r="1089" spans="1:12" customHeight="1" ht="11.25">
      <c r="A1089"/>
      <c r="B1089"/>
      <c r="C1089"/>
      <c r="D1089"/>
      <c r="E1089"/>
      <c r="F1089"/>
      <c r="G1089"/>
      <c r="H1089"/>
      <c r="I1089"/>
      <c r="J1089"/>
      <c r="K1089"/>
      <c r="L1089"/>
    </row>
    <row r="1090" spans="1:12" customHeight="1" ht="11.25">
      <c r="A1090"/>
      <c r="B1090"/>
      <c r="C1090"/>
      <c r="D1090"/>
      <c r="E1090"/>
      <c r="F1090"/>
      <c r="G1090"/>
      <c r="H1090"/>
      <c r="I1090"/>
      <c r="J1090"/>
      <c r="K1090"/>
      <c r="L1090"/>
    </row>
    <row r="1091" spans="1:12" customHeight="1" ht="11.25">
      <c r="A1091"/>
      <c r="B1091"/>
      <c r="C1091"/>
      <c r="D1091"/>
      <c r="E1091"/>
      <c r="F1091"/>
      <c r="G1091"/>
      <c r="H1091"/>
      <c r="I1091"/>
      <c r="J1091"/>
      <c r="K1091"/>
      <c r="L1091"/>
    </row>
    <row r="1092" spans="1:12" customHeight="1" ht="11.25">
      <c r="A1092"/>
      <c r="B1092"/>
      <c r="C1092"/>
      <c r="D1092"/>
      <c r="E1092"/>
      <c r="F1092"/>
      <c r="G1092"/>
      <c r="H1092"/>
      <c r="I1092"/>
      <c r="J1092"/>
      <c r="K1092"/>
      <c r="L1092"/>
    </row>
    <row r="1093" spans="1:12" customHeight="1" ht="11.25">
      <c r="A1093"/>
      <c r="B1093"/>
      <c r="C1093"/>
      <c r="D1093"/>
      <c r="E1093"/>
      <c r="F1093"/>
      <c r="G1093"/>
      <c r="H1093"/>
      <c r="I1093"/>
      <c r="J1093"/>
      <c r="K1093"/>
      <c r="L1093"/>
    </row>
    <row r="1094" spans="1:12" customHeight="1" ht="11.25">
      <c r="A1094"/>
      <c r="B1094"/>
      <c r="C1094"/>
      <c r="D1094"/>
      <c r="E1094"/>
      <c r="F1094"/>
      <c r="G1094"/>
      <c r="H1094"/>
      <c r="I1094"/>
      <c r="J1094"/>
      <c r="K1094"/>
      <c r="L1094"/>
    </row>
    <row r="1095" spans="1:12" customHeight="1" ht="11.25">
      <c r="A1095"/>
      <c r="B1095"/>
      <c r="C1095"/>
      <c r="D1095"/>
      <c r="E1095"/>
      <c r="F1095"/>
      <c r="G1095"/>
      <c r="H1095"/>
      <c r="I1095"/>
      <c r="J1095"/>
      <c r="K1095"/>
      <c r="L1095"/>
    </row>
    <row r="1096" spans="1:12" customHeight="1" ht="11.25">
      <c r="A1096"/>
      <c r="B1096"/>
      <c r="C1096"/>
      <c r="D1096"/>
      <c r="E1096"/>
      <c r="F1096"/>
      <c r="G1096"/>
      <c r="H1096"/>
      <c r="I1096"/>
      <c r="J1096"/>
      <c r="K1096"/>
      <c r="L1096"/>
    </row>
    <row r="1097" spans="1:12" customHeight="1" ht="11.25">
      <c r="A1097"/>
      <c r="B1097"/>
      <c r="C1097"/>
      <c r="D1097"/>
      <c r="E1097"/>
      <c r="F1097"/>
      <c r="G1097"/>
      <c r="H1097"/>
      <c r="I1097"/>
      <c r="J1097"/>
      <c r="K1097"/>
      <c r="L1097"/>
    </row>
    <row r="1098" spans="1:12" customHeight="1" ht="11.25">
      <c r="A1098"/>
      <c r="B1098"/>
      <c r="C1098"/>
      <c r="D1098"/>
      <c r="E1098"/>
      <c r="F1098"/>
      <c r="G1098"/>
      <c r="H1098"/>
      <c r="I1098"/>
      <c r="J1098"/>
      <c r="K1098"/>
      <c r="L1098"/>
    </row>
    <row r="1099" spans="1:12" customHeight="1" ht="11.25">
      <c r="A1099"/>
      <c r="B1099"/>
      <c r="C1099"/>
      <c r="D1099"/>
      <c r="E1099"/>
      <c r="F1099"/>
      <c r="G1099"/>
      <c r="H1099"/>
      <c r="I1099"/>
      <c r="J1099"/>
      <c r="K1099"/>
      <c r="L1099"/>
    </row>
    <row r="1100" spans="1:12" customHeight="1" ht="11.25">
      <c r="A1100"/>
      <c r="B1100"/>
      <c r="C1100"/>
      <c r="D1100"/>
      <c r="E1100"/>
      <c r="F1100"/>
      <c r="G1100"/>
      <c r="H1100"/>
      <c r="I1100"/>
      <c r="J1100"/>
      <c r="K1100"/>
      <c r="L1100"/>
    </row>
    <row r="1101" spans="1:12" customHeight="1" ht="11.25">
      <c r="A1101"/>
      <c r="B1101"/>
      <c r="C1101"/>
      <c r="D1101"/>
      <c r="E1101"/>
      <c r="F1101"/>
      <c r="G1101"/>
      <c r="H1101"/>
      <c r="I1101"/>
      <c r="J1101"/>
      <c r="K1101"/>
      <c r="L1101"/>
    </row>
    <row r="1102" spans="1:12" customHeight="1" ht="11.25">
      <c r="A1102"/>
      <c r="B1102"/>
      <c r="C1102"/>
      <c r="D1102"/>
      <c r="E1102"/>
      <c r="F1102"/>
      <c r="G1102"/>
      <c r="H1102"/>
      <c r="I1102"/>
      <c r="J1102"/>
      <c r="K1102"/>
      <c r="L1102"/>
    </row>
    <row r="1103" spans="1:12" customHeight="1" ht="11.25">
      <c r="A1103"/>
      <c r="B1103"/>
      <c r="C1103"/>
      <c r="D1103"/>
      <c r="E1103"/>
      <c r="F1103"/>
      <c r="G1103"/>
      <c r="H1103"/>
      <c r="I1103"/>
      <c r="J1103"/>
      <c r="K1103"/>
      <c r="L1103"/>
    </row>
    <row r="1104" spans="1:12" customHeight="1" ht="11.25">
      <c r="A1104"/>
      <c r="B1104"/>
      <c r="C1104"/>
      <c r="D1104"/>
      <c r="E1104"/>
      <c r="F1104"/>
      <c r="G1104"/>
      <c r="H1104"/>
      <c r="I1104"/>
      <c r="J1104"/>
      <c r="K1104"/>
      <c r="L1104"/>
    </row>
    <row r="1105" spans="1:12" customHeight="1" ht="11.25">
      <c r="A1105"/>
      <c r="B1105"/>
      <c r="C1105"/>
      <c r="D1105"/>
      <c r="E1105"/>
      <c r="F1105"/>
      <c r="G1105"/>
      <c r="H1105"/>
      <c r="I1105"/>
      <c r="J1105"/>
      <c r="K1105"/>
      <c r="L1105"/>
    </row>
    <row r="1106" spans="1:12" customHeight="1" ht="11.25">
      <c r="A1106"/>
      <c r="B1106"/>
      <c r="C1106"/>
      <c r="D1106"/>
      <c r="E1106"/>
      <c r="F1106"/>
      <c r="G1106"/>
      <c r="H1106"/>
      <c r="I1106"/>
      <c r="J1106"/>
      <c r="K1106"/>
      <c r="L1106"/>
    </row>
    <row r="1107" spans="1:12" customHeight="1" ht="11.25">
      <c r="A1107"/>
      <c r="B1107"/>
      <c r="C1107"/>
      <c r="D1107"/>
      <c r="E1107"/>
      <c r="F1107"/>
      <c r="G1107"/>
      <c r="H1107"/>
      <c r="I1107"/>
      <c r="J1107"/>
      <c r="K1107"/>
      <c r="L1107"/>
    </row>
    <row r="1108" spans="1:12" customHeight="1" ht="11.25">
      <c r="A1108"/>
      <c r="B1108"/>
      <c r="C1108"/>
      <c r="D1108"/>
      <c r="E1108"/>
      <c r="F1108"/>
      <c r="G1108"/>
      <c r="H1108"/>
      <c r="I1108"/>
      <c r="J1108"/>
      <c r="K1108"/>
      <c r="L1108"/>
    </row>
    <row r="1109" spans="1:12" customHeight="1" ht="11.25">
      <c r="A1109"/>
      <c r="B1109"/>
      <c r="C1109"/>
      <c r="D1109"/>
      <c r="E1109"/>
      <c r="F1109"/>
      <c r="G1109"/>
      <c r="H1109"/>
      <c r="I1109"/>
      <c r="J1109"/>
      <c r="K1109"/>
      <c r="L1109"/>
    </row>
    <row r="1110" spans="1:12" customHeight="1" ht="11.25">
      <c r="A1110"/>
      <c r="B1110"/>
      <c r="C1110"/>
      <c r="D1110"/>
      <c r="E1110"/>
      <c r="F1110"/>
      <c r="G1110"/>
      <c r="H1110"/>
      <c r="I1110"/>
      <c r="J1110"/>
      <c r="K1110"/>
      <c r="L1110"/>
    </row>
    <row r="1111" spans="1:12" customHeight="1" ht="11.25">
      <c r="A1111"/>
      <c r="B1111"/>
      <c r="C1111"/>
      <c r="D1111"/>
      <c r="E1111"/>
      <c r="F1111"/>
      <c r="G1111"/>
      <c r="H1111"/>
      <c r="I1111"/>
      <c r="J1111"/>
      <c r="K1111"/>
      <c r="L1111"/>
    </row>
    <row r="1112" spans="1:12" customHeight="1" ht="11.25">
      <c r="A1112"/>
      <c r="B1112"/>
      <c r="C1112"/>
      <c r="D1112"/>
      <c r="E1112"/>
      <c r="F1112"/>
      <c r="G1112"/>
      <c r="H1112"/>
      <c r="I1112"/>
      <c r="J1112"/>
      <c r="K1112"/>
      <c r="L1112"/>
    </row>
    <row r="1113" spans="1:12" customHeight="1" ht="11.25">
      <c r="A1113"/>
      <c r="B1113"/>
      <c r="C1113"/>
      <c r="D1113"/>
      <c r="E1113"/>
      <c r="F1113"/>
      <c r="G1113"/>
      <c r="H1113"/>
      <c r="I1113"/>
      <c r="J1113"/>
      <c r="K1113"/>
      <c r="L1113"/>
    </row>
    <row r="1114" spans="1:12" customHeight="1" ht="11.25">
      <c r="A1114"/>
      <c r="B1114"/>
      <c r="C1114"/>
      <c r="D1114"/>
      <c r="E1114"/>
      <c r="F1114"/>
      <c r="G1114"/>
      <c r="H1114"/>
      <c r="I1114"/>
      <c r="J1114"/>
      <c r="K1114"/>
      <c r="L1114"/>
    </row>
    <row r="1115" spans="1:12" customHeight="1" ht="11.25">
      <c r="A1115"/>
      <c r="B1115"/>
      <c r="C1115"/>
      <c r="D1115"/>
      <c r="E1115"/>
      <c r="F1115"/>
      <c r="G1115"/>
      <c r="H1115"/>
      <c r="I1115"/>
      <c r="J1115"/>
      <c r="K1115"/>
      <c r="L1115"/>
    </row>
    <row r="1116" spans="1:12" customHeight="1" ht="11.25">
      <c r="A1116"/>
      <c r="B1116"/>
      <c r="C1116"/>
      <c r="D1116"/>
      <c r="E1116"/>
      <c r="F1116"/>
      <c r="G1116"/>
      <c r="H1116"/>
      <c r="I1116"/>
      <c r="J1116"/>
      <c r="K1116"/>
      <c r="L1116"/>
    </row>
    <row r="1117" spans="1:12" customHeight="1" ht="11.25">
      <c r="A1117"/>
      <c r="B1117"/>
      <c r="C1117"/>
      <c r="D1117"/>
      <c r="E1117"/>
      <c r="F1117"/>
      <c r="G1117"/>
      <c r="H1117"/>
      <c r="I1117"/>
      <c r="J1117"/>
      <c r="K1117"/>
      <c r="L1117"/>
    </row>
    <row r="1118" spans="1:12" customHeight="1" ht="11.25">
      <c r="A1118"/>
      <c r="B1118"/>
      <c r="C1118"/>
      <c r="D1118"/>
      <c r="E1118"/>
      <c r="F1118"/>
      <c r="G1118"/>
      <c r="H1118"/>
      <c r="I1118"/>
      <c r="J1118"/>
      <c r="K1118"/>
      <c r="L1118"/>
    </row>
    <row r="1119" spans="1:12" customHeight="1" ht="11.25">
      <c r="A1119"/>
      <c r="B1119"/>
      <c r="C1119"/>
      <c r="D1119"/>
      <c r="E1119"/>
      <c r="F1119"/>
      <c r="G1119"/>
      <c r="H1119"/>
      <c r="I1119"/>
      <c r="J1119"/>
      <c r="K1119"/>
      <c r="L1119"/>
    </row>
    <row r="1120" spans="1:12" customHeight="1" ht="11.25">
      <c r="A1120"/>
      <c r="B1120"/>
      <c r="C1120"/>
      <c r="D1120"/>
      <c r="E1120"/>
      <c r="F1120"/>
      <c r="G1120"/>
      <c r="H1120"/>
      <c r="I1120"/>
      <c r="J1120"/>
      <c r="K1120"/>
      <c r="L1120"/>
    </row>
    <row r="1121" spans="1:12" customHeight="1" ht="11.25">
      <c r="A1121"/>
      <c r="B1121"/>
      <c r="C1121"/>
      <c r="D1121"/>
      <c r="E1121"/>
      <c r="F1121"/>
      <c r="G1121"/>
      <c r="H1121"/>
      <c r="I1121"/>
      <c r="J1121"/>
      <c r="K1121"/>
      <c r="L1121"/>
    </row>
    <row r="1122" spans="1:12" customHeight="1" ht="11.25">
      <c r="A1122"/>
      <c r="B1122"/>
      <c r="C1122"/>
      <c r="D1122"/>
      <c r="E1122"/>
      <c r="F1122"/>
      <c r="G1122"/>
      <c r="H1122"/>
      <c r="I1122"/>
      <c r="J1122"/>
      <c r="K1122"/>
      <c r="L1122"/>
    </row>
    <row r="1123" spans="1:12" customHeight="1" ht="11.25">
      <c r="A1123"/>
      <c r="B1123"/>
      <c r="C1123"/>
      <c r="D1123"/>
      <c r="E1123"/>
      <c r="F1123"/>
      <c r="G1123"/>
      <c r="H1123"/>
      <c r="I1123"/>
      <c r="J1123"/>
      <c r="K1123"/>
      <c r="L1123"/>
    </row>
    <row r="1124" spans="1:12" customHeight="1" ht="11.25">
      <c r="A1124"/>
      <c r="B1124"/>
      <c r="C1124"/>
      <c r="D1124"/>
      <c r="E1124"/>
      <c r="F1124"/>
      <c r="G1124"/>
      <c r="H1124"/>
      <c r="I1124"/>
      <c r="J1124"/>
      <c r="K1124"/>
      <c r="L1124"/>
    </row>
    <row r="1125" spans="1:12" customHeight="1" ht="11.25">
      <c r="A1125"/>
      <c r="B1125"/>
      <c r="C1125"/>
      <c r="D1125"/>
      <c r="E1125"/>
      <c r="F1125"/>
      <c r="G1125"/>
      <c r="H1125"/>
      <c r="I1125"/>
      <c r="J1125"/>
      <c r="K1125"/>
      <c r="L1125"/>
    </row>
    <row r="1126" spans="1:12" customHeight="1" ht="11.25">
      <c r="A1126"/>
      <c r="B1126"/>
      <c r="C1126"/>
      <c r="D1126"/>
      <c r="E1126"/>
      <c r="F1126"/>
      <c r="G1126"/>
      <c r="H1126"/>
      <c r="I1126"/>
      <c r="J1126"/>
      <c r="K1126"/>
      <c r="L1126"/>
    </row>
    <row r="1127" spans="1:12" customHeight="1" ht="11.25">
      <c r="A1127"/>
      <c r="B1127"/>
      <c r="C1127"/>
      <c r="D1127"/>
      <c r="E1127"/>
      <c r="F1127"/>
      <c r="G1127"/>
      <c r="H1127"/>
      <c r="I1127"/>
      <c r="J1127"/>
      <c r="K1127"/>
      <c r="L1127"/>
    </row>
    <row r="1128" spans="1:12" customHeight="1" ht="11.25">
      <c r="A1128"/>
      <c r="B1128"/>
      <c r="C1128"/>
      <c r="D1128"/>
      <c r="E1128"/>
      <c r="F1128"/>
      <c r="G1128"/>
      <c r="H1128"/>
      <c r="I1128"/>
      <c r="J1128"/>
      <c r="K1128"/>
      <c r="L1128"/>
    </row>
    <row r="1129" spans="1:12" customHeight="1" ht="11.25">
      <c r="A1129"/>
      <c r="B1129"/>
      <c r="C1129"/>
      <c r="D1129"/>
      <c r="E1129"/>
      <c r="F1129"/>
      <c r="G1129"/>
      <c r="H1129"/>
      <c r="I1129"/>
      <c r="J1129"/>
      <c r="K1129"/>
      <c r="L1129"/>
    </row>
    <row r="1130" spans="1:12" customHeight="1" ht="11.25">
      <c r="A1130"/>
      <c r="B1130"/>
      <c r="C1130"/>
      <c r="D1130"/>
      <c r="E1130"/>
      <c r="F1130"/>
      <c r="G1130"/>
      <c r="H1130"/>
      <c r="I1130"/>
      <c r="J1130"/>
      <c r="K1130"/>
      <c r="L1130"/>
    </row>
    <row r="1131" spans="1:12" customHeight="1" ht="11.25">
      <c r="A1131"/>
      <c r="B1131"/>
      <c r="C1131"/>
      <c r="D1131"/>
      <c r="E1131"/>
      <c r="F1131"/>
      <c r="G1131"/>
      <c r="H1131"/>
      <c r="I1131"/>
      <c r="J1131"/>
      <c r="K1131"/>
      <c r="L1131"/>
    </row>
    <row r="1132" spans="1:12" customHeight="1" ht="11.25">
      <c r="A1132"/>
      <c r="B1132"/>
      <c r="C1132"/>
      <c r="D1132"/>
      <c r="E1132"/>
      <c r="F1132"/>
      <c r="G1132"/>
      <c r="H1132"/>
      <c r="I1132"/>
      <c r="J1132"/>
      <c r="K1132"/>
      <c r="L1132"/>
    </row>
    <row r="1133" spans="1:12" customHeight="1" ht="11.25">
      <c r="A1133"/>
      <c r="B1133"/>
      <c r="C1133"/>
      <c r="D1133"/>
      <c r="E1133"/>
      <c r="F1133"/>
      <c r="G1133"/>
      <c r="H1133"/>
      <c r="I1133"/>
      <c r="J1133"/>
      <c r="K1133"/>
      <c r="L1133"/>
    </row>
    <row r="1134" spans="1:12" customHeight="1" ht="11.25">
      <c r="A1134"/>
      <c r="B1134"/>
      <c r="C1134"/>
      <c r="D1134"/>
      <c r="E1134"/>
      <c r="F1134"/>
      <c r="G1134"/>
      <c r="H1134"/>
      <c r="I1134"/>
      <c r="J1134"/>
      <c r="K1134"/>
      <c r="L1134"/>
    </row>
    <row r="1135" spans="1:12" customHeight="1" ht="11.25">
      <c r="A1135"/>
      <c r="B1135"/>
      <c r="C1135"/>
      <c r="D1135"/>
      <c r="E1135"/>
      <c r="F1135"/>
      <c r="G1135"/>
      <c r="H1135"/>
      <c r="I1135"/>
      <c r="J1135"/>
      <c r="K1135"/>
      <c r="L1135"/>
    </row>
    <row r="1136" spans="1:12" customHeight="1" ht="11.25">
      <c r="A1136"/>
      <c r="B1136"/>
      <c r="C1136"/>
      <c r="D1136"/>
      <c r="E1136"/>
      <c r="F1136"/>
      <c r="G1136"/>
      <c r="H1136"/>
      <c r="I1136"/>
      <c r="J1136"/>
      <c r="K1136"/>
      <c r="L1136"/>
    </row>
    <row r="1137" spans="1:12" customHeight="1" ht="11.25">
      <c r="A1137"/>
      <c r="B1137"/>
      <c r="C1137"/>
      <c r="D1137"/>
      <c r="E1137"/>
      <c r="F1137"/>
      <c r="G1137"/>
      <c r="H1137"/>
      <c r="I1137"/>
      <c r="J1137"/>
      <c r="K1137"/>
      <c r="L1137"/>
    </row>
    <row r="1138" spans="1:12" customHeight="1" ht="11.25">
      <c r="A1138"/>
      <c r="B1138"/>
      <c r="C1138"/>
      <c r="D1138"/>
      <c r="E1138"/>
      <c r="F1138"/>
      <c r="G1138"/>
      <c r="H1138"/>
      <c r="I1138"/>
      <c r="J1138"/>
      <c r="K1138"/>
      <c r="L1138"/>
    </row>
    <row r="1139" spans="1:12" customHeight="1" ht="11.25">
      <c r="A1139"/>
      <c r="B1139"/>
      <c r="C1139"/>
      <c r="D1139"/>
      <c r="E1139"/>
      <c r="F1139"/>
      <c r="G1139"/>
      <c r="H1139"/>
      <c r="I1139"/>
      <c r="J1139"/>
      <c r="K1139"/>
      <c r="L1139"/>
    </row>
    <row r="1140" spans="1:12" customHeight="1" ht="11.25">
      <c r="A1140"/>
      <c r="B1140"/>
      <c r="C1140"/>
      <c r="D1140"/>
      <c r="E1140"/>
      <c r="F1140"/>
      <c r="G1140"/>
      <c r="H1140"/>
      <c r="I1140"/>
      <c r="J1140"/>
      <c r="K1140"/>
      <c r="L1140"/>
    </row>
    <row r="1141" spans="1:12" customHeight="1" ht="11.25">
      <c r="A1141"/>
      <c r="B1141"/>
      <c r="C1141"/>
      <c r="D1141"/>
      <c r="E1141"/>
      <c r="F1141"/>
      <c r="G1141"/>
      <c r="H1141"/>
      <c r="I1141"/>
      <c r="J1141"/>
      <c r="K1141"/>
      <c r="L1141"/>
    </row>
    <row r="1142" spans="1:12" customHeight="1" ht="11.25">
      <c r="A1142"/>
      <c r="B1142"/>
      <c r="C1142"/>
      <c r="D1142"/>
      <c r="E1142"/>
      <c r="F1142"/>
      <c r="G1142"/>
      <c r="H1142"/>
      <c r="I1142"/>
      <c r="J1142"/>
      <c r="K1142"/>
      <c r="L1142"/>
    </row>
    <row r="1143" spans="1:12" customHeight="1" ht="11.25">
      <c r="A1143"/>
      <c r="B1143"/>
      <c r="C1143"/>
      <c r="D1143"/>
      <c r="E1143"/>
      <c r="F1143"/>
      <c r="G1143"/>
      <c r="H1143"/>
      <c r="I1143"/>
      <c r="J1143"/>
      <c r="K1143"/>
      <c r="L1143"/>
    </row>
    <row r="1144" spans="1:12" customHeight="1" ht="11.25">
      <c r="A1144"/>
      <c r="B1144"/>
      <c r="C1144"/>
      <c r="D1144"/>
      <c r="E1144"/>
      <c r="F1144"/>
      <c r="G1144"/>
      <c r="H1144"/>
      <c r="I1144"/>
      <c r="J1144"/>
      <c r="K1144"/>
      <c r="L1144"/>
    </row>
    <row r="1145" spans="1:12" customHeight="1" ht="11.25">
      <c r="A1145"/>
      <c r="B1145"/>
      <c r="C1145"/>
      <c r="D1145"/>
      <c r="E1145"/>
      <c r="F1145"/>
      <c r="G1145"/>
      <c r="H1145"/>
      <c r="I1145"/>
      <c r="J1145"/>
      <c r="K1145"/>
      <c r="L1145"/>
    </row>
    <row r="1146" spans="1:12" customHeight="1" ht="11.25">
      <c r="A1146"/>
      <c r="B1146"/>
      <c r="C1146"/>
      <c r="D1146"/>
      <c r="E1146"/>
      <c r="F1146"/>
      <c r="G1146"/>
      <c r="H1146"/>
      <c r="I1146"/>
      <c r="J1146"/>
      <c r="K1146"/>
      <c r="L1146"/>
    </row>
    <row r="1147" spans="1:12" customHeight="1" ht="11.25">
      <c r="A1147"/>
      <c r="B1147"/>
      <c r="C1147"/>
      <c r="D1147"/>
      <c r="E1147"/>
      <c r="F1147"/>
      <c r="G1147"/>
      <c r="H1147"/>
      <c r="I1147"/>
      <c r="J1147"/>
      <c r="K1147"/>
      <c r="L1147"/>
    </row>
    <row r="1148" spans="1:12" customHeight="1" ht="11.25">
      <c r="A1148"/>
      <c r="B1148"/>
      <c r="C1148"/>
      <c r="D1148"/>
      <c r="E1148"/>
      <c r="F1148"/>
      <c r="G1148"/>
      <c r="H1148"/>
      <c r="I1148"/>
      <c r="J1148"/>
      <c r="K1148"/>
      <c r="L1148"/>
    </row>
    <row r="1149" spans="1:12" customHeight="1" ht="11.25">
      <c r="A1149"/>
      <c r="B1149"/>
      <c r="C1149"/>
      <c r="D1149"/>
      <c r="E1149"/>
      <c r="F1149"/>
      <c r="G1149"/>
      <c r="H1149"/>
      <c r="I1149"/>
      <c r="J1149"/>
      <c r="K1149"/>
      <c r="L1149"/>
    </row>
    <row r="1150" spans="1:12" customHeight="1" ht="11.25">
      <c r="A1150"/>
      <c r="B1150"/>
      <c r="C1150"/>
      <c r="D1150"/>
      <c r="E1150"/>
      <c r="F1150"/>
      <c r="G1150"/>
      <c r="H1150"/>
      <c r="I1150"/>
      <c r="J1150"/>
      <c r="K1150"/>
      <c r="L1150"/>
    </row>
    <row r="1151" spans="1:12" customHeight="1" ht="11.25">
      <c r="A1151"/>
      <c r="B1151"/>
      <c r="C1151"/>
      <c r="D1151"/>
      <c r="E1151"/>
      <c r="F1151"/>
      <c r="G1151"/>
      <c r="H1151"/>
      <c r="I1151"/>
      <c r="J1151"/>
      <c r="K1151"/>
      <c r="L1151"/>
    </row>
    <row r="1152" spans="1:12" customHeight="1" ht="11.25">
      <c r="A1152"/>
      <c r="B1152"/>
      <c r="C1152"/>
      <c r="D1152"/>
      <c r="E1152"/>
      <c r="F1152"/>
      <c r="G1152"/>
      <c r="H1152"/>
      <c r="I1152"/>
      <c r="J1152"/>
      <c r="K1152"/>
      <c r="L1152"/>
    </row>
    <row r="1153" spans="1:12" customHeight="1" ht="11.25">
      <c r="A1153"/>
      <c r="B1153"/>
      <c r="C1153"/>
      <c r="D1153"/>
      <c r="E1153"/>
      <c r="F1153"/>
      <c r="G1153"/>
      <c r="H1153"/>
      <c r="I1153"/>
      <c r="J1153"/>
      <c r="K1153"/>
      <c r="L1153"/>
    </row>
    <row r="1154" spans="1:12" customHeight="1" ht="11.25">
      <c r="A1154"/>
      <c r="B1154"/>
      <c r="C1154"/>
      <c r="D1154"/>
      <c r="E1154"/>
      <c r="F1154"/>
      <c r="G1154"/>
      <c r="H1154"/>
      <c r="I1154"/>
      <c r="J1154"/>
      <c r="K1154"/>
      <c r="L1154"/>
    </row>
    <row r="1155" spans="1:12" customHeight="1" ht="11.25">
      <c r="A1155"/>
      <c r="B1155"/>
      <c r="C1155"/>
      <c r="D1155"/>
      <c r="E1155"/>
      <c r="F1155"/>
      <c r="G1155"/>
      <c r="H1155"/>
      <c r="I1155"/>
      <c r="J1155"/>
      <c r="K1155"/>
      <c r="L1155"/>
    </row>
    <row r="1156" spans="1:12" customHeight="1" ht="11.25">
      <c r="A1156"/>
      <c r="B1156"/>
      <c r="C1156"/>
      <c r="D1156"/>
      <c r="E1156"/>
      <c r="F1156"/>
      <c r="G1156"/>
      <c r="H1156"/>
      <c r="I1156"/>
      <c r="J1156"/>
      <c r="K1156"/>
      <c r="L1156"/>
    </row>
    <row r="1157" spans="1:12" customHeight="1" ht="11.25">
      <c r="A1157"/>
      <c r="B1157"/>
      <c r="C1157"/>
      <c r="D1157"/>
      <c r="E1157"/>
      <c r="F1157"/>
      <c r="G1157"/>
      <c r="H1157"/>
      <c r="I1157"/>
      <c r="J1157"/>
      <c r="K1157"/>
      <c r="L1157"/>
    </row>
    <row r="1158" spans="1:12" customHeight="1" ht="11.25">
      <c r="A1158"/>
      <c r="B1158"/>
      <c r="C1158"/>
      <c r="D1158"/>
      <c r="E1158"/>
      <c r="F1158"/>
      <c r="G1158"/>
      <c r="H1158"/>
      <c r="I1158"/>
      <c r="J1158"/>
      <c r="K1158"/>
      <c r="L1158"/>
    </row>
    <row r="1159" spans="1:12" customHeight="1" ht="11.25">
      <c r="A1159"/>
      <c r="B1159"/>
      <c r="C1159"/>
      <c r="D1159"/>
      <c r="E1159"/>
      <c r="F1159"/>
      <c r="G1159"/>
      <c r="H1159"/>
      <c r="I1159"/>
      <c r="J1159"/>
      <c r="K1159"/>
      <c r="L1159"/>
    </row>
    <row r="1160" spans="1:12" customHeight="1" ht="11.25">
      <c r="A1160"/>
      <c r="B1160"/>
      <c r="C1160"/>
      <c r="D1160"/>
      <c r="E1160"/>
      <c r="F1160"/>
      <c r="G1160"/>
      <c r="H1160"/>
      <c r="I1160"/>
      <c r="J1160"/>
      <c r="K1160"/>
      <c r="L1160"/>
    </row>
    <row r="1161" spans="1:12" customHeight="1" ht="11.25">
      <c r="A1161"/>
      <c r="B1161"/>
      <c r="C1161"/>
      <c r="D1161"/>
      <c r="E1161"/>
      <c r="F1161"/>
      <c r="G1161"/>
      <c r="H1161"/>
      <c r="I1161"/>
      <c r="J1161"/>
      <c r="K1161"/>
      <c r="L1161"/>
    </row>
    <row r="1162" spans="1:12" customHeight="1" ht="11.25">
      <c r="A1162"/>
      <c r="B1162"/>
      <c r="C1162"/>
      <c r="D1162"/>
      <c r="E1162"/>
      <c r="F1162"/>
      <c r="G1162"/>
      <c r="H1162"/>
      <c r="I1162"/>
      <c r="J1162"/>
      <c r="K1162"/>
      <c r="L1162"/>
    </row>
    <row r="1163" spans="1:12" customHeight="1" ht="11.25">
      <c r="A1163"/>
      <c r="B1163"/>
      <c r="C1163"/>
      <c r="D1163"/>
      <c r="E1163"/>
      <c r="F1163"/>
      <c r="G1163"/>
      <c r="H1163"/>
      <c r="I1163"/>
      <c r="J1163"/>
      <c r="K1163"/>
      <c r="L1163"/>
    </row>
    <row r="1164" spans="1:12" customHeight="1" ht="11.25">
      <c r="A1164"/>
      <c r="B1164"/>
      <c r="C1164"/>
      <c r="D1164"/>
      <c r="E1164"/>
      <c r="F1164"/>
      <c r="G1164"/>
      <c r="H1164"/>
      <c r="I1164"/>
      <c r="J1164"/>
      <c r="K1164"/>
      <c r="L1164"/>
    </row>
    <row r="1165" spans="1:12" customHeight="1" ht="11.25">
      <c r="A1165"/>
      <c r="B1165"/>
      <c r="C1165"/>
      <c r="D1165"/>
      <c r="E1165"/>
      <c r="F1165"/>
      <c r="G1165"/>
      <c r="H1165"/>
      <c r="I1165"/>
      <c r="J1165"/>
      <c r="K1165"/>
      <c r="L1165"/>
    </row>
    <row r="1166" spans="1:12" customHeight="1" ht="11.25">
      <c r="A1166"/>
      <c r="B1166"/>
      <c r="C1166"/>
      <c r="D1166"/>
      <c r="E1166"/>
      <c r="F1166"/>
      <c r="G1166"/>
      <c r="H1166"/>
      <c r="I1166"/>
      <c r="J1166"/>
      <c r="K1166"/>
      <c r="L1166"/>
    </row>
    <row r="1167" spans="1:12" customHeight="1" ht="11.25">
      <c r="A1167"/>
      <c r="B1167"/>
      <c r="C1167"/>
      <c r="D1167"/>
      <c r="E1167"/>
      <c r="F1167"/>
      <c r="G1167"/>
      <c r="H1167"/>
      <c r="I1167"/>
      <c r="J1167"/>
      <c r="K1167"/>
      <c r="L1167"/>
    </row>
    <row r="1168" spans="1:12" customHeight="1" ht="11.25">
      <c r="A1168"/>
      <c r="B1168"/>
      <c r="C1168"/>
      <c r="D1168"/>
      <c r="E1168"/>
      <c r="F1168"/>
      <c r="G1168"/>
      <c r="H1168"/>
      <c r="I1168"/>
      <c r="J1168"/>
      <c r="K1168"/>
      <c r="L1168"/>
    </row>
    <row r="1169" spans="1:12" customHeight="1" ht="11.25">
      <c r="A1169"/>
      <c r="B1169"/>
      <c r="C1169"/>
      <c r="D1169"/>
      <c r="E1169"/>
      <c r="F1169"/>
      <c r="G1169"/>
      <c r="H1169"/>
      <c r="I1169"/>
      <c r="J1169"/>
      <c r="K1169"/>
      <c r="L1169"/>
    </row>
    <row r="1170" spans="1:12" customHeight="1" ht="11.25">
      <c r="A1170"/>
      <c r="B1170"/>
      <c r="C1170"/>
      <c r="D1170"/>
      <c r="E1170"/>
      <c r="F1170"/>
      <c r="G1170"/>
      <c r="H1170"/>
      <c r="I1170"/>
      <c r="J1170"/>
      <c r="K1170"/>
      <c r="L1170"/>
    </row>
    <row r="1171" spans="1:12" customHeight="1" ht="11.25">
      <c r="A1171"/>
      <c r="B1171"/>
      <c r="C1171"/>
      <c r="D1171"/>
      <c r="E1171"/>
      <c r="F1171"/>
      <c r="G1171"/>
      <c r="H1171"/>
      <c r="I1171"/>
      <c r="J1171"/>
      <c r="K1171"/>
      <c r="L1171"/>
    </row>
    <row r="1172" spans="1:12" customHeight="1" ht="11.25">
      <c r="A1172"/>
      <c r="B1172"/>
      <c r="C1172"/>
      <c r="D1172"/>
      <c r="E1172"/>
      <c r="F1172"/>
      <c r="G1172"/>
      <c r="H1172"/>
      <c r="I1172"/>
      <c r="J1172"/>
      <c r="K1172"/>
      <c r="L1172"/>
    </row>
    <row r="1173" spans="1:12" customHeight="1" ht="11.25">
      <c r="A1173"/>
      <c r="B1173"/>
      <c r="C1173"/>
      <c r="D1173"/>
      <c r="E1173"/>
      <c r="F1173"/>
      <c r="G1173"/>
      <c r="H1173"/>
      <c r="I1173"/>
      <c r="J1173"/>
      <c r="K1173"/>
      <c r="L1173"/>
    </row>
    <row r="1174" spans="1:12" customHeight="1" ht="11.25">
      <c r="A1174"/>
      <c r="B1174"/>
      <c r="C1174"/>
      <c r="D1174"/>
      <c r="E1174"/>
      <c r="F1174"/>
      <c r="G1174"/>
      <c r="H1174"/>
      <c r="I1174"/>
      <c r="J1174"/>
      <c r="K1174"/>
      <c r="L1174"/>
    </row>
    <row r="1175" spans="1:12" customHeight="1" ht="11.25">
      <c r="A1175"/>
      <c r="B1175"/>
      <c r="C1175"/>
      <c r="D1175"/>
      <c r="E1175"/>
      <c r="F1175"/>
      <c r="G1175"/>
      <c r="H1175"/>
      <c r="I1175"/>
      <c r="J1175"/>
      <c r="K1175"/>
      <c r="L1175"/>
    </row>
    <row r="1176" spans="1:12" customHeight="1" ht="11.25">
      <c r="A1176"/>
      <c r="B1176"/>
      <c r="C1176"/>
      <c r="D1176"/>
      <c r="E1176"/>
      <c r="F1176"/>
      <c r="G1176"/>
      <c r="H1176"/>
      <c r="I1176"/>
      <c r="J1176"/>
      <c r="K1176"/>
      <c r="L1176"/>
    </row>
    <row r="1177" spans="1:12" customHeight="1" ht="11.25">
      <c r="A1177"/>
      <c r="B1177"/>
      <c r="C1177"/>
      <c r="D1177"/>
      <c r="E1177"/>
      <c r="F1177"/>
      <c r="G1177"/>
      <c r="H1177"/>
      <c r="I1177"/>
      <c r="J1177"/>
      <c r="K1177"/>
      <c r="L1177"/>
    </row>
    <row r="1178" spans="1:12" customHeight="1" ht="11.25">
      <c r="A1178"/>
      <c r="B1178"/>
      <c r="C1178"/>
      <c r="D1178"/>
      <c r="E1178"/>
      <c r="F1178"/>
      <c r="G1178"/>
      <c r="H1178"/>
      <c r="I1178"/>
      <c r="J1178"/>
      <c r="K1178"/>
      <c r="L1178"/>
    </row>
    <row r="1179" spans="1:12" customHeight="1" ht="11.25">
      <c r="A1179"/>
      <c r="B1179"/>
      <c r="C1179"/>
      <c r="D1179"/>
      <c r="E1179"/>
      <c r="F1179"/>
      <c r="G1179"/>
      <c r="H1179"/>
      <c r="I1179"/>
      <c r="J1179"/>
      <c r="K1179"/>
      <c r="L1179"/>
    </row>
    <row r="1180" spans="1:12" customHeight="1" ht="11.25">
      <c r="A1180"/>
      <c r="B1180"/>
      <c r="C1180"/>
      <c r="D1180"/>
      <c r="E1180"/>
      <c r="F1180"/>
      <c r="G1180"/>
      <c r="H1180"/>
      <c r="I1180"/>
      <c r="J1180"/>
      <c r="K1180"/>
      <c r="L1180"/>
    </row>
    <row r="1181" spans="1:12" customHeight="1" ht="11.25">
      <c r="A1181"/>
      <c r="B1181"/>
      <c r="C1181"/>
      <c r="D1181"/>
      <c r="E1181"/>
      <c r="F1181"/>
      <c r="G1181"/>
      <c r="H1181"/>
      <c r="I1181"/>
      <c r="J1181"/>
      <c r="K1181"/>
      <c r="L1181"/>
    </row>
    <row r="1182" spans="1:12" customHeight="1" ht="11.25">
      <c r="A1182"/>
      <c r="B1182"/>
      <c r="C1182"/>
      <c r="D1182"/>
      <c r="E1182"/>
      <c r="F1182"/>
      <c r="G1182"/>
      <c r="H1182"/>
      <c r="I1182"/>
      <c r="J1182"/>
      <c r="K1182"/>
      <c r="L1182"/>
    </row>
    <row r="1183" spans="1:12" customHeight="1" ht="11.25">
      <c r="A1183"/>
      <c r="B1183"/>
      <c r="C1183"/>
      <c r="D1183"/>
      <c r="E1183"/>
      <c r="F1183"/>
      <c r="G1183"/>
      <c r="H1183"/>
      <c r="I1183"/>
      <c r="J1183"/>
      <c r="K1183"/>
      <c r="L1183"/>
    </row>
    <row r="1184" spans="1:12" customHeight="1" ht="11.25">
      <c r="A1184"/>
      <c r="B1184"/>
      <c r="C1184"/>
      <c r="D1184"/>
      <c r="E1184"/>
      <c r="F1184"/>
      <c r="G1184"/>
      <c r="H1184"/>
      <c r="I1184"/>
      <c r="J1184"/>
      <c r="K1184"/>
      <c r="L1184"/>
    </row>
    <row r="1185" spans="1:12" customHeight="1" ht="11.25">
      <c r="A1185"/>
      <c r="B1185"/>
      <c r="C1185"/>
      <c r="D1185"/>
      <c r="E1185"/>
      <c r="F1185"/>
      <c r="G1185"/>
      <c r="H1185"/>
      <c r="I1185"/>
      <c r="J1185"/>
      <c r="K1185"/>
      <c r="L1185"/>
    </row>
    <row r="1186" spans="1:12" customHeight="1" ht="11.25">
      <c r="A1186"/>
      <c r="B1186"/>
      <c r="C1186"/>
      <c r="D1186"/>
      <c r="E1186"/>
      <c r="F1186"/>
      <c r="G1186"/>
      <c r="H1186"/>
      <c r="I1186"/>
      <c r="J1186"/>
      <c r="K1186"/>
      <c r="L1186"/>
    </row>
    <row r="1187" spans="1:12" customHeight="1" ht="11.25">
      <c r="A1187"/>
      <c r="B1187"/>
      <c r="C1187"/>
      <c r="D1187"/>
      <c r="E1187"/>
      <c r="F1187"/>
      <c r="G1187"/>
      <c r="H1187"/>
      <c r="I1187"/>
      <c r="J1187"/>
      <c r="K1187"/>
      <c r="L1187"/>
    </row>
    <row r="1188" spans="1:12" customHeight="1" ht="11.25">
      <c r="A1188"/>
      <c r="B1188"/>
      <c r="C1188"/>
      <c r="D1188"/>
      <c r="E1188"/>
      <c r="F1188"/>
      <c r="G1188"/>
      <c r="H1188"/>
      <c r="I1188"/>
      <c r="J1188"/>
      <c r="K1188"/>
      <c r="L1188"/>
    </row>
    <row r="1189" spans="1:12" customHeight="1" ht="11.25">
      <c r="A1189"/>
      <c r="B1189"/>
      <c r="C1189"/>
      <c r="D1189"/>
      <c r="E1189"/>
      <c r="F1189"/>
      <c r="G1189"/>
      <c r="H1189"/>
      <c r="I1189"/>
      <c r="J1189"/>
      <c r="K1189"/>
      <c r="L1189"/>
    </row>
    <row r="1190" spans="1:12" customHeight="1" ht="11.25">
      <c r="A1190"/>
      <c r="B1190"/>
      <c r="C1190"/>
      <c r="D1190"/>
      <c r="E1190"/>
      <c r="F1190"/>
      <c r="G1190"/>
      <c r="H1190"/>
      <c r="I1190"/>
      <c r="J1190"/>
      <c r="K1190"/>
      <c r="L1190"/>
    </row>
    <row r="1191" spans="1:12" customHeight="1" ht="11.25">
      <c r="A1191"/>
      <c r="B1191"/>
      <c r="C1191"/>
      <c r="D1191"/>
      <c r="E1191"/>
      <c r="F1191"/>
      <c r="G1191"/>
      <c r="H1191"/>
      <c r="I1191"/>
      <c r="J1191"/>
      <c r="K1191"/>
      <c r="L1191"/>
    </row>
    <row r="1192" spans="1:12" customHeight="1" ht="11.25">
      <c r="A1192"/>
      <c r="B1192"/>
      <c r="C1192"/>
      <c r="D1192"/>
      <c r="E1192"/>
      <c r="F1192"/>
      <c r="G1192"/>
      <c r="H1192"/>
      <c r="I1192"/>
      <c r="J1192"/>
      <c r="K1192"/>
      <c r="L1192"/>
    </row>
    <row r="1193" spans="1:12" customHeight="1" ht="11.25">
      <c r="A1193"/>
      <c r="B1193"/>
      <c r="C1193"/>
      <c r="D1193"/>
      <c r="E1193"/>
      <c r="F1193"/>
      <c r="G1193"/>
      <c r="H1193"/>
      <c r="I1193"/>
      <c r="J1193"/>
      <c r="K1193"/>
      <c r="L1193"/>
    </row>
    <row r="1194" spans="1:12" customHeight="1" ht="11.25">
      <c r="A1194"/>
      <c r="B1194"/>
      <c r="C1194"/>
      <c r="D1194"/>
      <c r="E1194"/>
      <c r="F1194"/>
      <c r="G1194"/>
      <c r="H1194"/>
      <c r="I1194"/>
      <c r="J1194"/>
      <c r="K1194"/>
      <c r="L1194"/>
    </row>
    <row r="1195" spans="1:12" customHeight="1" ht="11.25">
      <c r="A1195"/>
      <c r="B1195"/>
      <c r="C1195"/>
      <c r="D1195"/>
      <c r="E1195"/>
      <c r="F1195"/>
      <c r="G1195"/>
      <c r="H1195"/>
      <c r="I1195"/>
      <c r="J1195"/>
      <c r="K1195"/>
      <c r="L1195"/>
    </row>
    <row r="1196" spans="1:12" customHeight="1" ht="11.25">
      <c r="A1196"/>
      <c r="B1196"/>
      <c r="C1196"/>
      <c r="D1196"/>
      <c r="E1196"/>
      <c r="F1196"/>
      <c r="G1196"/>
      <c r="H1196"/>
      <c r="I1196"/>
      <c r="J1196"/>
      <c r="K1196"/>
      <c r="L1196"/>
    </row>
    <row r="1197" spans="1:12" customHeight="1" ht="11.25">
      <c r="A1197"/>
      <c r="B1197"/>
      <c r="C1197"/>
      <c r="D1197"/>
      <c r="E1197"/>
      <c r="F1197"/>
      <c r="G1197"/>
      <c r="H1197"/>
      <c r="I1197"/>
      <c r="J1197"/>
      <c r="K1197"/>
      <c r="L1197"/>
    </row>
    <row r="1198" spans="1:12" customHeight="1" ht="11.25">
      <c r="A1198"/>
      <c r="B1198"/>
      <c r="C1198"/>
      <c r="D1198"/>
      <c r="E1198"/>
      <c r="F1198"/>
      <c r="G1198"/>
      <c r="H1198"/>
      <c r="I1198"/>
      <c r="J1198"/>
      <c r="K1198"/>
      <c r="L1198"/>
    </row>
    <row r="1199" spans="1:12" customHeight="1" ht="11.25">
      <c r="A1199"/>
      <c r="B1199"/>
      <c r="C1199"/>
      <c r="D1199"/>
      <c r="E1199"/>
      <c r="F1199"/>
      <c r="G1199"/>
      <c r="H1199"/>
      <c r="I1199"/>
      <c r="J1199"/>
      <c r="K1199"/>
      <c r="L1199"/>
    </row>
    <row r="1200" spans="1:12" customHeight="1" ht="11.25">
      <c r="A1200"/>
      <c r="B1200"/>
      <c r="C1200"/>
      <c r="D1200"/>
      <c r="E1200"/>
      <c r="F1200"/>
      <c r="G1200"/>
      <c r="H1200"/>
      <c r="I1200"/>
      <c r="J1200"/>
      <c r="K1200"/>
      <c r="L1200"/>
    </row>
    <row r="1201" spans="1:12" customHeight="1" ht="11.25">
      <c r="A1201"/>
      <c r="B1201"/>
      <c r="C1201"/>
      <c r="D1201"/>
      <c r="E1201"/>
      <c r="F1201"/>
      <c r="G1201"/>
      <c r="H1201"/>
      <c r="I1201"/>
      <c r="J1201"/>
      <c r="K1201"/>
      <c r="L1201"/>
    </row>
    <row r="1202" spans="1:12" customHeight="1" ht="11.25">
      <c r="A1202"/>
      <c r="B1202"/>
      <c r="C1202"/>
      <c r="D1202"/>
      <c r="E1202"/>
      <c r="F1202"/>
      <c r="G1202"/>
      <c r="H1202"/>
      <c r="I1202"/>
      <c r="J1202"/>
      <c r="K1202"/>
      <c r="L1202"/>
    </row>
    <row r="1203" spans="1:12" customHeight="1" ht="11.25">
      <c r="A1203"/>
      <c r="B1203"/>
      <c r="C1203"/>
      <c r="D1203"/>
      <c r="E1203"/>
      <c r="F1203"/>
      <c r="G1203"/>
      <c r="H1203"/>
      <c r="I1203"/>
      <c r="J1203"/>
      <c r="K1203"/>
      <c r="L1203"/>
    </row>
    <row r="1204" spans="1:12" customHeight="1" ht="11.25">
      <c r="A1204"/>
      <c r="B1204"/>
      <c r="C1204"/>
      <c r="D1204"/>
      <c r="E1204"/>
      <c r="F1204"/>
      <c r="G1204"/>
      <c r="H1204"/>
      <c r="I1204"/>
      <c r="J1204"/>
      <c r="K1204"/>
      <c r="L1204"/>
    </row>
    <row r="1205" spans="1:12" customHeight="1" ht="11.25">
      <c r="A1205"/>
      <c r="B1205"/>
      <c r="C1205"/>
      <c r="D1205"/>
      <c r="E1205"/>
      <c r="F1205"/>
      <c r="G1205"/>
      <c r="H1205"/>
      <c r="I1205"/>
      <c r="J1205"/>
      <c r="K1205"/>
      <c r="L1205"/>
    </row>
    <row r="1206" spans="1:12" customHeight="1" ht="11.25">
      <c r="A1206"/>
      <c r="B1206"/>
      <c r="C1206"/>
      <c r="D1206"/>
      <c r="E1206"/>
      <c r="F1206"/>
      <c r="G1206"/>
      <c r="H1206"/>
      <c r="I1206"/>
      <c r="J1206"/>
      <c r="K1206"/>
      <c r="L1206"/>
    </row>
    <row r="1207" spans="1:12" customHeight="1" ht="11.25">
      <c r="A1207"/>
      <c r="B1207"/>
      <c r="C1207"/>
      <c r="D1207"/>
      <c r="E1207"/>
      <c r="F1207"/>
      <c r="G1207"/>
      <c r="H1207"/>
      <c r="I1207"/>
      <c r="J1207"/>
      <c r="K1207"/>
      <c r="L1207"/>
    </row>
    <row r="1208" spans="1:12" customHeight="1" ht="11.25">
      <c r="A1208"/>
      <c r="B1208"/>
      <c r="C1208"/>
      <c r="D1208"/>
      <c r="E1208"/>
      <c r="F1208"/>
      <c r="G1208"/>
      <c r="H1208"/>
      <c r="I1208"/>
      <c r="J1208"/>
      <c r="K1208"/>
      <c r="L1208"/>
    </row>
    <row r="1209" spans="1:12" customHeight="1" ht="11.25">
      <c r="A1209"/>
      <c r="B1209"/>
      <c r="C1209"/>
      <c r="D1209"/>
      <c r="E1209"/>
      <c r="F1209"/>
      <c r="G1209"/>
      <c r="H1209"/>
      <c r="I1209"/>
      <c r="J1209"/>
      <c r="K1209"/>
      <c r="L1209"/>
    </row>
    <row r="1210" spans="1:12" customHeight="1" ht="11.25">
      <c r="A1210"/>
      <c r="B1210"/>
      <c r="C1210"/>
      <c r="D1210"/>
      <c r="E1210"/>
      <c r="F1210"/>
      <c r="G1210"/>
      <c r="H1210"/>
      <c r="I1210"/>
      <c r="J1210"/>
      <c r="K1210"/>
      <c r="L1210"/>
    </row>
    <row r="1211" spans="1:12" customHeight="1" ht="11.25">
      <c r="A1211"/>
      <c r="B1211"/>
      <c r="C1211"/>
      <c r="D1211"/>
      <c r="E1211"/>
      <c r="F1211"/>
      <c r="G1211"/>
      <c r="H1211"/>
      <c r="I1211"/>
      <c r="J1211"/>
      <c r="K1211"/>
      <c r="L1211"/>
    </row>
    <row r="1212" spans="1:12" customHeight="1" ht="11.25">
      <c r="A1212"/>
      <c r="B1212"/>
      <c r="C1212"/>
      <c r="D1212"/>
      <c r="E1212"/>
      <c r="F1212"/>
      <c r="G1212"/>
      <c r="H1212"/>
      <c r="I1212"/>
      <c r="J1212"/>
      <c r="K1212"/>
      <c r="L1212"/>
    </row>
    <row r="1213" spans="1:12" customHeight="1" ht="11.25">
      <c r="A1213"/>
      <c r="B1213"/>
      <c r="C1213"/>
      <c r="D1213"/>
      <c r="E1213"/>
      <c r="F1213"/>
      <c r="G1213"/>
      <c r="H1213"/>
      <c r="I1213"/>
      <c r="J1213"/>
      <c r="K1213"/>
      <c r="L1213"/>
    </row>
    <row r="1214" spans="1:12" customHeight="1" ht="11.25">
      <c r="A1214"/>
      <c r="B1214"/>
      <c r="C1214"/>
      <c r="D1214"/>
      <c r="E1214"/>
      <c r="F1214"/>
      <c r="G1214"/>
      <c r="H1214"/>
      <c r="I1214"/>
      <c r="J1214"/>
      <c r="K1214"/>
      <c r="L1214"/>
    </row>
    <row r="1215" spans="1:12" customHeight="1" ht="11.25">
      <c r="A1215"/>
      <c r="B1215"/>
      <c r="C1215"/>
      <c r="D1215"/>
      <c r="E1215"/>
      <c r="F1215"/>
      <c r="G1215"/>
      <c r="H1215"/>
      <c r="I1215"/>
      <c r="J1215"/>
      <c r="K1215"/>
      <c r="L1215"/>
    </row>
    <row r="1216" spans="1:12" customHeight="1" ht="11.25">
      <c r="A1216"/>
      <c r="B1216"/>
      <c r="C1216"/>
      <c r="D1216"/>
      <c r="E1216"/>
      <c r="F1216"/>
      <c r="G1216"/>
      <c r="H1216"/>
      <c r="I1216"/>
      <c r="J1216"/>
      <c r="K1216"/>
      <c r="L1216"/>
    </row>
    <row r="1217" spans="1:12" customHeight="1" ht="11.25">
      <c r="A1217"/>
      <c r="B1217"/>
      <c r="C1217"/>
      <c r="D1217"/>
      <c r="E1217"/>
      <c r="F1217"/>
      <c r="G1217"/>
      <c r="H1217"/>
      <c r="I1217"/>
      <c r="J1217"/>
      <c r="K1217"/>
      <c r="L1217"/>
    </row>
    <row r="1218" spans="1:12" customHeight="1" ht="11.25">
      <c r="A1218"/>
      <c r="B1218"/>
      <c r="C1218"/>
      <c r="D1218"/>
      <c r="E1218"/>
      <c r="F1218"/>
      <c r="G1218"/>
      <c r="H1218"/>
      <c r="I1218"/>
      <c r="J1218"/>
      <c r="K1218"/>
      <c r="L1218"/>
    </row>
    <row r="1219" spans="1:12" customHeight="1" ht="11.25">
      <c r="A1219"/>
      <c r="B1219"/>
      <c r="C1219"/>
      <c r="D1219"/>
      <c r="E1219"/>
      <c r="F1219"/>
      <c r="G1219"/>
      <c r="H1219"/>
      <c r="I1219"/>
      <c r="J1219"/>
      <c r="K1219"/>
      <c r="L1219"/>
    </row>
    <row r="1220" spans="1:12" customHeight="1" ht="11.25">
      <c r="A1220"/>
      <c r="B1220"/>
      <c r="C1220"/>
      <c r="D1220"/>
      <c r="E1220"/>
      <c r="F1220"/>
      <c r="G1220"/>
      <c r="H1220"/>
      <c r="I1220"/>
      <c r="J1220"/>
      <c r="K1220"/>
      <c r="L1220"/>
    </row>
    <row r="1221" spans="1:12" customHeight="1" ht="11.25">
      <c r="A1221"/>
      <c r="B1221"/>
      <c r="C1221"/>
      <c r="D1221"/>
      <c r="E1221"/>
      <c r="F1221"/>
      <c r="G1221"/>
      <c r="H1221"/>
      <c r="I1221"/>
      <c r="J1221"/>
      <c r="K1221"/>
      <c r="L1221"/>
    </row>
    <row r="1222" spans="1:12" customHeight="1" ht="11.25">
      <c r="A1222"/>
      <c r="B1222"/>
      <c r="C1222"/>
      <c r="D1222"/>
      <c r="E1222"/>
      <c r="F1222"/>
      <c r="G1222"/>
      <c r="H1222"/>
      <c r="I1222"/>
      <c r="J1222"/>
      <c r="K1222"/>
      <c r="L1222"/>
    </row>
    <row r="1223" spans="1:12" customHeight="1" ht="11.25">
      <c r="A1223"/>
      <c r="B1223"/>
      <c r="C1223"/>
      <c r="D1223"/>
      <c r="E1223"/>
      <c r="F1223"/>
      <c r="G1223"/>
      <c r="H1223"/>
      <c r="I1223"/>
      <c r="J1223"/>
      <c r="K1223"/>
      <c r="L1223"/>
    </row>
    <row r="1224" spans="1:12" customHeight="1" ht="11.25">
      <c r="A1224"/>
      <c r="B1224"/>
      <c r="C1224"/>
      <c r="D1224"/>
      <c r="E1224"/>
      <c r="F1224"/>
      <c r="G1224"/>
      <c r="H1224"/>
      <c r="I1224"/>
      <c r="J1224"/>
      <c r="K1224"/>
      <c r="L1224"/>
    </row>
    <row r="1225" spans="1:12" customHeight="1" ht="11.25">
      <c r="A1225"/>
      <c r="B1225"/>
      <c r="C1225"/>
      <c r="D1225"/>
      <c r="E1225"/>
      <c r="F1225"/>
      <c r="G1225"/>
      <c r="H1225"/>
      <c r="I1225"/>
      <c r="J1225"/>
      <c r="K1225"/>
      <c r="L1225"/>
    </row>
    <row r="1226" spans="1:12" customHeight="1" ht="11.25">
      <c r="A1226"/>
      <c r="B1226"/>
      <c r="C1226"/>
      <c r="D1226"/>
      <c r="E1226"/>
      <c r="F1226"/>
      <c r="G1226"/>
      <c r="H1226"/>
      <c r="I1226"/>
      <c r="J1226"/>
      <c r="K1226"/>
      <c r="L1226"/>
    </row>
    <row r="1227" spans="1:12" customHeight="1" ht="11.25">
      <c r="A1227"/>
      <c r="B1227"/>
      <c r="C1227"/>
      <c r="D1227"/>
      <c r="E1227"/>
      <c r="F1227"/>
      <c r="G1227"/>
      <c r="H1227"/>
      <c r="I1227"/>
      <c r="J1227"/>
      <c r="K1227"/>
      <c r="L1227"/>
    </row>
    <row r="1228" spans="1:12" customHeight="1" ht="11.25">
      <c r="A1228"/>
      <c r="B1228"/>
      <c r="C1228"/>
      <c r="D1228"/>
      <c r="E1228"/>
      <c r="F1228"/>
      <c r="G1228"/>
      <c r="H1228"/>
      <c r="I1228"/>
      <c r="J1228"/>
      <c r="K1228"/>
      <c r="L1228"/>
    </row>
    <row r="1229" spans="1:12" customHeight="1" ht="11.25">
      <c r="A1229"/>
      <c r="B1229"/>
      <c r="C1229"/>
      <c r="D1229"/>
      <c r="E1229"/>
      <c r="F1229"/>
      <c r="G1229"/>
      <c r="H1229"/>
      <c r="I1229"/>
      <c r="J1229"/>
      <c r="K1229"/>
      <c r="L1229"/>
    </row>
    <row r="1230" spans="1:12" customHeight="1" ht="11.25">
      <c r="A1230"/>
      <c r="B1230"/>
      <c r="C1230"/>
      <c r="D1230"/>
      <c r="E1230"/>
      <c r="F1230"/>
      <c r="G1230"/>
      <c r="H1230"/>
      <c r="I1230"/>
      <c r="J1230"/>
      <c r="K1230"/>
      <c r="L1230"/>
    </row>
    <row r="1231" spans="1:12" customHeight="1" ht="11.25">
      <c r="A1231"/>
      <c r="B1231"/>
      <c r="C1231"/>
      <c r="D1231"/>
      <c r="E1231"/>
      <c r="F1231"/>
      <c r="G1231"/>
      <c r="H1231"/>
      <c r="I1231"/>
      <c r="J1231"/>
      <c r="K1231"/>
      <c r="L1231"/>
    </row>
    <row r="1232" spans="1:12" customHeight="1" ht="11.25">
      <c r="A1232"/>
      <c r="B1232"/>
      <c r="C1232"/>
      <c r="D1232"/>
      <c r="E1232"/>
      <c r="F1232"/>
      <c r="G1232"/>
      <c r="H1232"/>
      <c r="I1232"/>
      <c r="J1232"/>
      <c r="K1232"/>
      <c r="L1232"/>
    </row>
    <row r="1233" spans="1:12" customHeight="1" ht="11.25">
      <c r="A1233"/>
      <c r="B1233"/>
      <c r="C1233"/>
      <c r="D1233"/>
      <c r="E1233"/>
      <c r="F1233"/>
      <c r="G1233"/>
      <c r="H1233"/>
      <c r="I1233"/>
      <c r="J1233"/>
      <c r="K1233"/>
      <c r="L1233"/>
    </row>
    <row r="1234" spans="1:12" customHeight="1" ht="11.25">
      <c r="A1234"/>
      <c r="B1234"/>
      <c r="C1234"/>
      <c r="D1234"/>
      <c r="E1234"/>
      <c r="F1234"/>
      <c r="G1234"/>
      <c r="H1234"/>
      <c r="I1234"/>
      <c r="J1234"/>
      <c r="K1234"/>
      <c r="L1234"/>
    </row>
    <row r="1235" spans="1:12" customHeight="1" ht="11.25">
      <c r="A1235"/>
      <c r="B1235"/>
      <c r="C1235"/>
      <c r="D1235"/>
      <c r="E1235"/>
      <c r="F1235"/>
      <c r="G1235"/>
      <c r="H1235"/>
      <c r="I1235"/>
      <c r="J1235"/>
      <c r="K1235"/>
      <c r="L1235"/>
    </row>
    <row r="1236" spans="1:12" customHeight="1" ht="11.25">
      <c r="A1236"/>
      <c r="B1236"/>
      <c r="C1236"/>
      <c r="D1236"/>
      <c r="E1236"/>
      <c r="F1236"/>
      <c r="G1236"/>
      <c r="H1236"/>
      <c r="I1236"/>
      <c r="J1236"/>
      <c r="K1236"/>
      <c r="L1236"/>
    </row>
    <row r="1237" spans="1:12" customHeight="1" ht="11.25">
      <c r="A1237"/>
      <c r="B1237"/>
      <c r="C1237"/>
      <c r="D1237"/>
      <c r="E1237"/>
      <c r="F1237"/>
      <c r="G1237"/>
      <c r="H1237"/>
      <c r="I1237"/>
      <c r="J1237"/>
      <c r="K1237"/>
      <c r="L1237"/>
    </row>
    <row r="1238" spans="1:12" customHeight="1" ht="11.25">
      <c r="A1238"/>
      <c r="B1238"/>
      <c r="C1238"/>
      <c r="D1238"/>
      <c r="E1238"/>
      <c r="F1238"/>
      <c r="G1238"/>
      <c r="H1238"/>
      <c r="I1238"/>
      <c r="J1238"/>
      <c r="K1238"/>
      <c r="L1238"/>
    </row>
    <row r="1239" spans="1:12" customHeight="1" ht="11.25">
      <c r="A1239"/>
      <c r="B1239"/>
      <c r="C1239"/>
      <c r="D1239"/>
      <c r="E1239"/>
      <c r="F1239"/>
      <c r="G1239"/>
      <c r="H1239"/>
      <c r="I1239"/>
      <c r="J1239"/>
      <c r="K1239"/>
      <c r="L1239"/>
    </row>
    <row r="1240" spans="1:12" customHeight="1" ht="11.25">
      <c r="A1240"/>
      <c r="B1240"/>
      <c r="C1240"/>
      <c r="D1240"/>
      <c r="E1240"/>
      <c r="F1240"/>
      <c r="G1240"/>
      <c r="H1240"/>
      <c r="I1240"/>
      <c r="J1240"/>
      <c r="K1240"/>
      <c r="L1240"/>
    </row>
    <row r="1241" spans="1:12" customHeight="1" ht="11.25">
      <c r="A1241"/>
      <c r="B1241"/>
      <c r="C1241"/>
      <c r="D1241"/>
      <c r="E1241"/>
      <c r="F1241"/>
      <c r="G1241"/>
      <c r="H1241"/>
      <c r="I1241"/>
      <c r="J1241"/>
      <c r="K1241"/>
      <c r="L1241"/>
    </row>
    <row r="1242" spans="1:12" customHeight="1" ht="11.25">
      <c r="A1242"/>
      <c r="B1242"/>
      <c r="C1242"/>
      <c r="D1242"/>
      <c r="E1242"/>
      <c r="F1242"/>
      <c r="G1242"/>
      <c r="H1242"/>
      <c r="I1242"/>
      <c r="J1242"/>
      <c r="K1242"/>
      <c r="L1242"/>
    </row>
    <row r="1243" spans="1:12" customHeight="1" ht="11.25">
      <c r="A1243"/>
      <c r="B1243"/>
      <c r="C1243"/>
      <c r="D1243"/>
      <c r="E1243"/>
      <c r="F1243"/>
      <c r="G1243"/>
      <c r="H1243"/>
      <c r="I1243"/>
      <c r="J1243"/>
      <c r="K1243"/>
      <c r="L1243"/>
    </row>
    <row r="1244" spans="1:12" customHeight="1" ht="11.25">
      <c r="A1244"/>
      <c r="B1244"/>
      <c r="C1244"/>
      <c r="D1244"/>
      <c r="E1244"/>
      <c r="F1244"/>
      <c r="G1244"/>
      <c r="H1244"/>
      <c r="I1244"/>
      <c r="J1244"/>
      <c r="K1244"/>
      <c r="L1244"/>
    </row>
    <row r="1245" spans="1:12" customHeight="1" ht="11.25">
      <c r="A1245"/>
      <c r="B1245"/>
      <c r="C1245"/>
      <c r="D1245"/>
      <c r="E1245"/>
      <c r="F1245"/>
      <c r="G1245"/>
      <c r="H1245"/>
      <c r="I1245"/>
      <c r="J1245"/>
      <c r="K1245"/>
      <c r="L1245"/>
    </row>
    <row r="1246" spans="1:12" customHeight="1" ht="11.25">
      <c r="A1246"/>
      <c r="B1246"/>
      <c r="C1246"/>
      <c r="D1246"/>
      <c r="E1246"/>
      <c r="F1246"/>
      <c r="G1246"/>
      <c r="H1246"/>
      <c r="I1246"/>
      <c r="J1246"/>
      <c r="K1246"/>
      <c r="L1246"/>
    </row>
    <row r="1247" spans="1:12" customHeight="1" ht="11.25">
      <c r="A1247"/>
      <c r="B1247"/>
      <c r="C1247"/>
      <c r="D1247"/>
      <c r="E1247"/>
      <c r="F1247"/>
      <c r="G1247"/>
      <c r="H1247"/>
      <c r="I1247"/>
      <c r="J1247"/>
      <c r="K1247"/>
      <c r="L1247"/>
    </row>
    <row r="1248" spans="1:12" customHeight="1" ht="11.25">
      <c r="A1248"/>
      <c r="B1248"/>
      <c r="C1248"/>
      <c r="D1248"/>
      <c r="E1248"/>
      <c r="F1248"/>
      <c r="G1248"/>
      <c r="H1248"/>
      <c r="I1248"/>
      <c r="J1248"/>
      <c r="K1248"/>
      <c r="L1248"/>
    </row>
    <row r="1249" spans="1:12" customHeight="1" ht="11.25">
      <c r="A1249"/>
      <c r="B1249"/>
      <c r="C1249"/>
      <c r="D1249"/>
      <c r="E1249"/>
      <c r="F1249"/>
      <c r="G1249"/>
      <c r="H1249"/>
      <c r="I1249"/>
      <c r="J1249"/>
      <c r="K1249"/>
      <c r="L1249"/>
    </row>
    <row r="1250" spans="1:12" customHeight="1" ht="11.25">
      <c r="A1250"/>
      <c r="B1250"/>
      <c r="C1250"/>
      <c r="D1250"/>
      <c r="E1250"/>
      <c r="F1250"/>
      <c r="G1250"/>
      <c r="H1250"/>
      <c r="I1250"/>
      <c r="J1250"/>
      <c r="K1250"/>
      <c r="L1250"/>
    </row>
    <row r="1251" spans="1:12" customHeight="1" ht="11.25">
      <c r="A1251"/>
      <c r="B1251"/>
      <c r="C1251"/>
      <c r="D1251"/>
      <c r="E1251"/>
      <c r="F1251"/>
      <c r="G1251"/>
      <c r="H1251"/>
      <c r="I1251"/>
      <c r="J1251"/>
      <c r="K1251"/>
      <c r="L1251"/>
    </row>
    <row r="1252" spans="1:12" customHeight="1" ht="11.25">
      <c r="A1252"/>
      <c r="B1252"/>
      <c r="C1252"/>
      <c r="D1252"/>
      <c r="E1252"/>
      <c r="F1252"/>
      <c r="G1252"/>
      <c r="H1252"/>
      <c r="I1252"/>
      <c r="J1252"/>
      <c r="K1252"/>
      <c r="L1252"/>
    </row>
    <row r="1253" spans="1:12" customHeight="1" ht="11.25">
      <c r="A1253"/>
      <c r="B1253"/>
      <c r="C1253"/>
      <c r="D1253"/>
      <c r="E1253"/>
      <c r="F1253"/>
      <c r="G1253"/>
      <c r="H1253"/>
      <c r="I1253"/>
      <c r="J1253"/>
      <c r="K1253"/>
      <c r="L1253"/>
    </row>
    <row r="1254" spans="1:12" customHeight="1" ht="11.25">
      <c r="A1254"/>
      <c r="B1254"/>
      <c r="C1254"/>
      <c r="D1254"/>
      <c r="E1254"/>
      <c r="F1254"/>
      <c r="G1254"/>
      <c r="H1254"/>
      <c r="I1254"/>
      <c r="J1254"/>
      <c r="K1254"/>
      <c r="L1254"/>
    </row>
    <row r="1255" spans="1:12" customHeight="1" ht="11.25">
      <c r="A1255"/>
      <c r="B1255"/>
      <c r="C1255"/>
      <c r="D1255"/>
      <c r="E1255"/>
      <c r="F1255"/>
      <c r="G1255"/>
      <c r="H1255"/>
      <c r="I1255"/>
      <c r="J1255"/>
      <c r="K1255"/>
      <c r="L1255"/>
    </row>
    <row r="1256" spans="1:12" customHeight="1" ht="11.25">
      <c r="A1256"/>
      <c r="B1256"/>
      <c r="C1256"/>
      <c r="D1256"/>
      <c r="E1256"/>
      <c r="F1256"/>
      <c r="G1256"/>
      <c r="H1256"/>
      <c r="I1256"/>
      <c r="J1256"/>
      <c r="K1256"/>
      <c r="L1256"/>
    </row>
    <row r="1257" spans="1:12" customHeight="1" ht="11.25">
      <c r="A1257"/>
      <c r="B1257"/>
      <c r="C1257"/>
      <c r="D1257"/>
      <c r="E1257"/>
      <c r="F1257"/>
      <c r="G1257"/>
      <c r="H1257"/>
      <c r="I1257"/>
      <c r="J1257"/>
      <c r="K1257"/>
      <c r="L1257"/>
    </row>
    <row r="1258" spans="1:12" customHeight="1" ht="11.25">
      <c r="A1258"/>
      <c r="B1258"/>
      <c r="C1258"/>
      <c r="D1258"/>
      <c r="E1258"/>
      <c r="F1258"/>
      <c r="G1258"/>
      <c r="H1258"/>
      <c r="I1258"/>
      <c r="J1258"/>
      <c r="K1258"/>
      <c r="L1258"/>
    </row>
    <row r="1259" spans="1:12" customHeight="1" ht="11.25">
      <c r="A1259"/>
      <c r="B1259"/>
      <c r="C1259"/>
      <c r="D1259"/>
      <c r="E1259"/>
      <c r="F1259"/>
      <c r="G1259"/>
      <c r="H1259"/>
      <c r="I1259"/>
      <c r="J1259"/>
      <c r="K1259"/>
      <c r="L1259"/>
    </row>
    <row r="1260" spans="1:12" customHeight="1" ht="11.25">
      <c r="A1260"/>
      <c r="B1260"/>
      <c r="C1260"/>
      <c r="D1260"/>
      <c r="E1260"/>
      <c r="F1260"/>
      <c r="G1260"/>
      <c r="H1260"/>
      <c r="I1260"/>
      <c r="J1260"/>
      <c r="K1260"/>
      <c r="L1260"/>
    </row>
    <row r="1261" spans="1:12" customHeight="1" ht="11.25">
      <c r="A1261"/>
      <c r="B1261"/>
      <c r="C1261"/>
      <c r="D1261"/>
      <c r="E1261"/>
      <c r="F1261"/>
      <c r="G1261"/>
      <c r="H1261"/>
      <c r="I1261"/>
      <c r="J1261"/>
      <c r="K1261"/>
      <c r="L1261"/>
    </row>
    <row r="1262" spans="1:12" customHeight="1" ht="11.25">
      <c r="A1262"/>
      <c r="B1262"/>
      <c r="C1262"/>
      <c r="D1262"/>
      <c r="E1262"/>
      <c r="F1262"/>
      <c r="G1262"/>
      <c r="H1262"/>
      <c r="I1262"/>
      <c r="J1262"/>
      <c r="K1262"/>
      <c r="L1262"/>
    </row>
    <row r="1263" spans="1:12" customHeight="1" ht="11.25">
      <c r="A1263"/>
      <c r="B1263"/>
      <c r="C1263"/>
      <c r="D1263"/>
      <c r="E1263"/>
      <c r="F1263"/>
      <c r="G1263"/>
      <c r="H1263"/>
      <c r="I1263"/>
      <c r="J1263"/>
      <c r="K1263"/>
      <c r="L1263"/>
    </row>
    <row r="1264" spans="1:12" customHeight="1" ht="11.25">
      <c r="A1264"/>
      <c r="B1264"/>
      <c r="C1264"/>
      <c r="D1264"/>
      <c r="E1264"/>
      <c r="F1264"/>
      <c r="G1264"/>
      <c r="H1264"/>
      <c r="I1264"/>
      <c r="J1264"/>
      <c r="K1264"/>
      <c r="L1264"/>
    </row>
    <row r="1265" spans="1:12" customHeight="1" ht="11.25">
      <c r="A1265"/>
      <c r="B1265"/>
      <c r="C1265"/>
      <c r="D1265"/>
      <c r="E1265"/>
      <c r="F1265"/>
      <c r="G1265"/>
      <c r="H1265"/>
      <c r="I1265"/>
      <c r="J1265"/>
      <c r="K1265"/>
      <c r="L1265"/>
    </row>
    <row r="1266" spans="1:12" customHeight="1" ht="11.25">
      <c r="A1266"/>
      <c r="B1266"/>
      <c r="C1266"/>
      <c r="D1266"/>
      <c r="E1266"/>
      <c r="F1266"/>
      <c r="G1266"/>
      <c r="H1266"/>
      <c r="I1266"/>
      <c r="J1266"/>
      <c r="K1266"/>
      <c r="L1266"/>
    </row>
    <row r="1267" spans="1:12" customHeight="1" ht="11.25">
      <c r="A1267"/>
      <c r="B1267"/>
      <c r="C1267"/>
      <c r="D1267"/>
      <c r="E1267"/>
      <c r="F1267"/>
      <c r="G1267"/>
      <c r="H1267"/>
      <c r="I1267"/>
      <c r="J1267"/>
      <c r="K1267"/>
      <c r="L1267"/>
    </row>
    <row r="1268" spans="1:12" customHeight="1" ht="11.25">
      <c r="A1268"/>
      <c r="B1268"/>
      <c r="C1268"/>
      <c r="D1268"/>
      <c r="E1268"/>
      <c r="F1268"/>
      <c r="G1268"/>
      <c r="H1268"/>
      <c r="I1268"/>
      <c r="J1268"/>
      <c r="K1268"/>
      <c r="L1268"/>
    </row>
    <row r="1269" spans="1:12" customHeight="1" ht="11.25">
      <c r="A1269"/>
      <c r="B1269"/>
      <c r="C1269"/>
      <c r="D1269"/>
      <c r="E1269"/>
      <c r="F1269"/>
      <c r="G1269"/>
      <c r="H1269"/>
      <c r="I1269"/>
      <c r="J1269"/>
      <c r="K1269"/>
      <c r="L1269"/>
    </row>
    <row r="1270" spans="1:12" customHeight="1" ht="11.25">
      <c r="A1270"/>
      <c r="B1270"/>
      <c r="C1270"/>
      <c r="D1270"/>
      <c r="E1270"/>
      <c r="F1270"/>
      <c r="G1270"/>
      <c r="H1270"/>
      <c r="I1270"/>
      <c r="J1270"/>
      <c r="K1270"/>
      <c r="L1270"/>
    </row>
    <row r="1271" spans="1:12" customHeight="1" ht="11.25">
      <c r="A1271"/>
      <c r="B1271"/>
      <c r="C1271"/>
      <c r="D1271"/>
      <c r="E1271"/>
      <c r="F1271"/>
      <c r="G1271"/>
      <c r="H1271"/>
      <c r="I1271"/>
      <c r="J1271"/>
      <c r="K1271"/>
      <c r="L1271"/>
    </row>
    <row r="1272" spans="1:12" customHeight="1" ht="11.25">
      <c r="A1272"/>
      <c r="B1272"/>
      <c r="C1272"/>
      <c r="D1272"/>
      <c r="E1272"/>
      <c r="F1272"/>
      <c r="G1272"/>
      <c r="H1272"/>
      <c r="I1272"/>
      <c r="J1272"/>
      <c r="K1272"/>
      <c r="L1272"/>
    </row>
    <row r="1273" spans="1:12" customHeight="1" ht="11.25">
      <c r="A1273"/>
      <c r="B1273"/>
      <c r="C1273"/>
      <c r="D1273"/>
      <c r="E1273"/>
      <c r="F1273"/>
      <c r="G1273"/>
      <c r="H1273"/>
      <c r="I1273"/>
      <c r="J1273"/>
      <c r="K1273"/>
      <c r="L1273"/>
    </row>
    <row r="1274" spans="1:12" customHeight="1" ht="11.25">
      <c r="A1274"/>
      <c r="B1274"/>
      <c r="C1274"/>
      <c r="D1274"/>
      <c r="E1274"/>
      <c r="F1274"/>
      <c r="G1274"/>
      <c r="H1274"/>
      <c r="I1274"/>
      <c r="J1274"/>
      <c r="K1274"/>
      <c r="L1274"/>
    </row>
    <row r="1275" spans="1:12" customHeight="1" ht="11.25">
      <c r="A1275"/>
      <c r="B1275"/>
      <c r="C1275"/>
      <c r="D1275"/>
      <c r="E1275"/>
      <c r="F1275"/>
      <c r="G1275"/>
      <c r="H1275"/>
      <c r="I1275"/>
      <c r="J1275"/>
      <c r="K1275"/>
      <c r="L1275"/>
    </row>
    <row r="1276" spans="1:12" customHeight="1" ht="11.25">
      <c r="A1276"/>
      <c r="B1276"/>
      <c r="C1276"/>
      <c r="D1276"/>
      <c r="E1276"/>
      <c r="F1276"/>
      <c r="G1276"/>
      <c r="H1276"/>
      <c r="I1276"/>
      <c r="J1276"/>
      <c r="K1276"/>
      <c r="L1276"/>
    </row>
    <row r="1277" spans="1:12" customHeight="1" ht="11.25">
      <c r="A1277"/>
      <c r="B1277"/>
      <c r="C1277"/>
      <c r="D1277"/>
      <c r="E1277"/>
      <c r="F1277"/>
      <c r="G1277"/>
      <c r="H1277"/>
      <c r="I1277"/>
      <c r="J1277"/>
      <c r="K1277"/>
      <c r="L1277"/>
    </row>
    <row r="1278" spans="1:12" customHeight="1" ht="11.25">
      <c r="A1278"/>
      <c r="B1278"/>
      <c r="C1278"/>
      <c r="D1278"/>
      <c r="E1278"/>
      <c r="F1278"/>
      <c r="G1278"/>
      <c r="H1278"/>
      <c r="I1278"/>
      <c r="J1278"/>
      <c r="K1278"/>
      <c r="L1278"/>
    </row>
    <row r="1279" spans="1:12" customHeight="1" ht="11.25">
      <c r="A1279"/>
      <c r="B1279"/>
      <c r="C1279"/>
      <c r="D1279"/>
      <c r="E1279"/>
      <c r="F1279"/>
      <c r="G1279"/>
      <c r="H1279"/>
      <c r="I1279"/>
      <c r="J1279"/>
      <c r="K1279"/>
      <c r="L1279"/>
    </row>
    <row r="1280" spans="1:12" customHeight="1" ht="11.25">
      <c r="A1280"/>
      <c r="B1280"/>
      <c r="C1280"/>
      <c r="D1280"/>
      <c r="E1280"/>
      <c r="F1280"/>
      <c r="G1280"/>
      <c r="H1280"/>
      <c r="I1280"/>
      <c r="J1280"/>
      <c r="K1280"/>
      <c r="L1280"/>
    </row>
    <row r="1281" spans="1:12" customHeight="1" ht="11.25">
      <c r="A1281"/>
      <c r="B1281"/>
      <c r="C1281"/>
      <c r="D1281"/>
      <c r="E1281"/>
      <c r="F1281"/>
      <c r="G1281"/>
      <c r="H1281"/>
      <c r="I1281"/>
      <c r="J1281"/>
      <c r="K1281"/>
      <c r="L1281"/>
    </row>
    <row r="1282" spans="1:12" customHeight="1" ht="11.25">
      <c r="A1282"/>
      <c r="B1282"/>
      <c r="C1282"/>
      <c r="D1282"/>
      <c r="E1282"/>
      <c r="F1282"/>
      <c r="G1282"/>
      <c r="H1282"/>
      <c r="I1282"/>
      <c r="J1282"/>
      <c r="K1282"/>
      <c r="L1282"/>
    </row>
    <row r="1283" spans="1:12" customHeight="1" ht="11.25">
      <c r="A1283"/>
      <c r="B1283"/>
      <c r="C1283"/>
      <c r="D1283"/>
      <c r="E1283"/>
      <c r="F1283"/>
      <c r="G1283"/>
      <c r="H1283"/>
      <c r="I1283"/>
      <c r="J1283"/>
      <c r="K1283"/>
      <c r="L1283"/>
    </row>
    <row r="1284" spans="1:12" customHeight="1" ht="11.25">
      <c r="A1284"/>
      <c r="B1284"/>
      <c r="C1284"/>
      <c r="D1284"/>
      <c r="E1284"/>
      <c r="F1284"/>
      <c r="G1284"/>
      <c r="H1284"/>
      <c r="I1284"/>
      <c r="J1284"/>
      <c r="K1284"/>
      <c r="L1284"/>
    </row>
    <row r="1285" spans="1:12" customHeight="1" ht="11.25">
      <c r="A1285"/>
      <c r="B1285"/>
      <c r="C1285"/>
      <c r="D1285"/>
      <c r="E1285"/>
      <c r="F1285"/>
      <c r="G1285"/>
      <c r="H1285"/>
      <c r="I1285"/>
      <c r="J1285"/>
      <c r="K1285"/>
      <c r="L1285"/>
    </row>
    <row r="1286" spans="1:12" customHeight="1" ht="11.25">
      <c r="A1286"/>
      <c r="B1286"/>
      <c r="C1286"/>
      <c r="D1286"/>
      <c r="E1286"/>
      <c r="F1286"/>
      <c r="G1286"/>
      <c r="H1286"/>
      <c r="I1286"/>
      <c r="J1286"/>
      <c r="K1286"/>
      <c r="L1286"/>
    </row>
    <row r="1287" spans="1:12" customHeight="1" ht="11.25">
      <c r="A1287"/>
      <c r="B1287"/>
      <c r="C1287"/>
      <c r="D1287"/>
      <c r="E1287"/>
      <c r="F1287"/>
      <c r="G1287"/>
      <c r="H1287"/>
      <c r="I1287"/>
      <c r="J1287"/>
      <c r="K1287"/>
      <c r="L1287"/>
    </row>
    <row r="1288" spans="1:12" customHeight="1" ht="11.25">
      <c r="A1288"/>
      <c r="B1288"/>
      <c r="C1288"/>
      <c r="D1288"/>
      <c r="E1288"/>
      <c r="F1288"/>
      <c r="G1288"/>
      <c r="H1288"/>
      <c r="I1288"/>
      <c r="J1288"/>
      <c r="K1288"/>
      <c r="L1288"/>
    </row>
    <row r="1289" spans="1:12" customHeight="1" ht="11.25">
      <c r="A1289"/>
      <c r="B1289"/>
      <c r="C1289"/>
      <c r="D1289"/>
      <c r="E1289"/>
      <c r="F1289"/>
      <c r="G1289"/>
      <c r="H1289"/>
      <c r="I1289"/>
      <c r="J1289"/>
      <c r="K1289"/>
      <c r="L1289"/>
    </row>
    <row r="1290" spans="1:12" customHeight="1" ht="11.25">
      <c r="A1290"/>
      <c r="B1290"/>
      <c r="C1290"/>
      <c r="D1290"/>
      <c r="E1290"/>
      <c r="F1290"/>
      <c r="G1290"/>
      <c r="H1290"/>
      <c r="I1290"/>
      <c r="J1290"/>
      <c r="K1290"/>
      <c r="L1290"/>
    </row>
    <row r="1291" spans="1:12" customHeight="1" ht="11.25">
      <c r="A1291"/>
      <c r="B1291"/>
      <c r="C1291"/>
      <c r="D1291"/>
      <c r="E1291"/>
      <c r="F1291"/>
      <c r="G1291"/>
      <c r="H1291"/>
      <c r="I1291"/>
      <c r="J1291"/>
      <c r="K1291"/>
      <c r="L1291"/>
    </row>
    <row r="1292" spans="1:12" customHeight="1" ht="11.25">
      <c r="A1292"/>
      <c r="B1292"/>
      <c r="C1292"/>
      <c r="D1292"/>
      <c r="E1292"/>
      <c r="F1292"/>
      <c r="G1292"/>
      <c r="H1292"/>
      <c r="I1292"/>
      <c r="J1292"/>
      <c r="K1292"/>
      <c r="L1292"/>
    </row>
    <row r="1293" spans="1:12" customHeight="1" ht="11.25">
      <c r="A1293"/>
      <c r="B1293"/>
      <c r="C1293"/>
      <c r="D1293"/>
      <c r="E1293"/>
      <c r="F1293"/>
      <c r="G1293"/>
      <c r="H1293"/>
      <c r="I1293"/>
      <c r="J1293"/>
      <c r="K1293"/>
      <c r="L1293"/>
    </row>
    <row r="1294" spans="1:12" customHeight="1" ht="11.25">
      <c r="A1294"/>
      <c r="B1294"/>
      <c r="C1294"/>
      <c r="D1294"/>
      <c r="E1294"/>
      <c r="F1294"/>
      <c r="G1294"/>
      <c r="H1294"/>
      <c r="I1294"/>
      <c r="J1294"/>
      <c r="K1294"/>
      <c r="L1294"/>
    </row>
    <row r="1295" spans="1:12" customHeight="1" ht="11.25">
      <c r="A1295"/>
      <c r="B1295"/>
      <c r="C1295"/>
      <c r="D1295"/>
      <c r="E1295"/>
      <c r="F1295"/>
      <c r="G1295"/>
      <c r="H1295"/>
      <c r="I1295"/>
      <c r="J1295"/>
      <c r="K1295"/>
      <c r="L1295"/>
    </row>
    <row r="1296" spans="1:12" customHeight="1" ht="11.25">
      <c r="A1296"/>
      <c r="B1296"/>
      <c r="C1296"/>
      <c r="D1296"/>
      <c r="E1296"/>
      <c r="F1296"/>
      <c r="G1296"/>
      <c r="H1296"/>
      <c r="I1296"/>
      <c r="J1296"/>
      <c r="K1296"/>
      <c r="L1296"/>
    </row>
    <row r="1297" spans="1:12" customHeight="1" ht="11.25">
      <c r="A1297"/>
      <c r="B1297"/>
      <c r="C1297"/>
      <c r="D1297"/>
      <c r="E1297"/>
      <c r="F1297"/>
      <c r="G1297"/>
      <c r="H1297"/>
      <c r="I1297"/>
      <c r="J1297"/>
      <c r="K1297"/>
      <c r="L1297"/>
    </row>
    <row r="1298" spans="1:12" customHeight="1" ht="11.25">
      <c r="A1298"/>
      <c r="B1298"/>
      <c r="C1298"/>
      <c r="D1298"/>
      <c r="E1298"/>
      <c r="F1298"/>
      <c r="G1298"/>
      <c r="H1298"/>
      <c r="I1298"/>
      <c r="J1298"/>
      <c r="K1298"/>
      <c r="L1298"/>
    </row>
    <row r="1299" spans="1:12" customHeight="1" ht="11.25">
      <c r="A1299"/>
      <c r="B1299"/>
      <c r="C1299"/>
      <c r="D1299"/>
      <c r="E1299"/>
      <c r="F1299"/>
      <c r="G1299"/>
      <c r="H1299"/>
      <c r="I1299"/>
      <c r="J1299"/>
      <c r="K1299"/>
      <c r="L1299"/>
    </row>
    <row r="1300" spans="1:12" customHeight="1" ht="11.25">
      <c r="A1300"/>
      <c r="B1300"/>
      <c r="C1300"/>
      <c r="D1300"/>
      <c r="E1300"/>
      <c r="F1300"/>
      <c r="G1300"/>
      <c r="H1300"/>
      <c r="I1300"/>
      <c r="J1300"/>
      <c r="K1300"/>
      <c r="L1300"/>
    </row>
    <row r="1301" spans="1:12" customHeight="1" ht="11.25">
      <c r="A1301"/>
      <c r="B1301"/>
      <c r="C1301"/>
      <c r="D1301"/>
      <c r="E1301"/>
      <c r="F1301"/>
      <c r="G1301"/>
      <c r="H1301"/>
      <c r="I1301"/>
      <c r="J1301"/>
      <c r="K1301"/>
      <c r="L1301"/>
    </row>
    <row r="1302" spans="1:12" customHeight="1" ht="11.25">
      <c r="A1302"/>
      <c r="B1302"/>
      <c r="C1302"/>
      <c r="D1302"/>
      <c r="E1302"/>
      <c r="F1302"/>
      <c r="G1302"/>
      <c r="H1302"/>
      <c r="I1302"/>
      <c r="J1302"/>
      <c r="K1302"/>
      <c r="L1302"/>
    </row>
    <row r="1303" spans="1:12" customHeight="1" ht="11.25">
      <c r="A1303"/>
      <c r="B1303"/>
      <c r="C1303"/>
      <c r="D1303"/>
      <c r="E1303"/>
      <c r="F1303"/>
      <c r="G1303"/>
      <c r="H1303"/>
      <c r="I1303"/>
      <c r="J1303"/>
      <c r="K1303"/>
      <c r="L1303"/>
    </row>
    <row r="1304" spans="1:12" customHeight="1" ht="11.25">
      <c r="A1304"/>
      <c r="B1304"/>
      <c r="C1304"/>
      <c r="D1304"/>
      <c r="E1304"/>
      <c r="F1304"/>
      <c r="G1304"/>
      <c r="H1304"/>
      <c r="I1304"/>
      <c r="J1304"/>
      <c r="K1304"/>
      <c r="L1304"/>
    </row>
    <row r="1305" spans="1:12" customHeight="1" ht="11.25">
      <c r="A1305"/>
      <c r="B1305"/>
      <c r="C1305"/>
      <c r="D1305"/>
      <c r="E1305"/>
      <c r="F1305"/>
      <c r="G1305"/>
      <c r="H1305"/>
      <c r="I1305"/>
      <c r="J1305"/>
      <c r="K1305"/>
      <c r="L1305"/>
    </row>
    <row r="1306" spans="1:12" customHeight="1" ht="11.25">
      <c r="A1306"/>
      <c r="B1306"/>
      <c r="C1306"/>
      <c r="D1306"/>
      <c r="E1306"/>
      <c r="F1306"/>
      <c r="G1306"/>
      <c r="H1306"/>
      <c r="I1306"/>
      <c r="J1306"/>
      <c r="K1306"/>
      <c r="L1306"/>
    </row>
    <row r="1307" spans="1:12" customHeight="1" ht="11.25">
      <c r="A1307"/>
      <c r="B1307"/>
      <c r="C1307"/>
      <c r="D1307"/>
      <c r="E1307"/>
      <c r="F1307"/>
      <c r="G1307"/>
      <c r="H1307"/>
      <c r="I1307"/>
      <c r="J1307"/>
      <c r="K1307"/>
      <c r="L1307"/>
    </row>
    <row r="1308" spans="1:12" customHeight="1" ht="11.25">
      <c r="A1308"/>
      <c r="B1308"/>
      <c r="C1308"/>
      <c r="D1308"/>
      <c r="E1308"/>
      <c r="F1308"/>
      <c r="G1308"/>
      <c r="H1308"/>
      <c r="I1308"/>
      <c r="J1308"/>
      <c r="K1308"/>
      <c r="L1308"/>
    </row>
    <row r="1309" spans="1:12" customHeight="1" ht="11.25">
      <c r="A1309"/>
      <c r="B1309"/>
      <c r="C1309"/>
      <c r="D1309"/>
      <c r="E1309"/>
      <c r="F1309"/>
      <c r="G1309"/>
      <c r="H1309"/>
      <c r="I1309"/>
      <c r="J1309"/>
      <c r="K1309"/>
      <c r="L1309"/>
    </row>
    <row r="1310" spans="1:12" customHeight="1" ht="11.25">
      <c r="A1310"/>
      <c r="B1310"/>
      <c r="C1310"/>
      <c r="D1310"/>
      <c r="E1310"/>
      <c r="F1310"/>
      <c r="G1310"/>
      <c r="H1310"/>
      <c r="I1310"/>
      <c r="J1310"/>
      <c r="K1310"/>
      <c r="L1310"/>
    </row>
    <row r="1311" spans="1:12" customHeight="1" ht="11.25">
      <c r="A1311"/>
      <c r="B1311"/>
      <c r="C1311"/>
      <c r="D1311"/>
      <c r="E1311"/>
      <c r="F1311"/>
      <c r="G1311"/>
      <c r="H1311"/>
      <c r="I1311"/>
      <c r="J1311"/>
      <c r="K1311"/>
      <c r="L1311"/>
    </row>
    <row r="1312" spans="1:12" customHeight="1" ht="11.25">
      <c r="A1312"/>
      <c r="B1312"/>
      <c r="C1312"/>
      <c r="D1312"/>
      <c r="E1312"/>
      <c r="F1312"/>
      <c r="G1312"/>
      <c r="H1312"/>
      <c r="I1312"/>
      <c r="J1312"/>
      <c r="K1312"/>
      <c r="L1312"/>
    </row>
    <row r="1313" spans="1:12" customHeight="1" ht="11.25">
      <c r="A1313"/>
      <c r="B1313"/>
      <c r="C1313"/>
      <c r="D1313"/>
      <c r="E1313"/>
      <c r="F1313"/>
      <c r="G1313"/>
      <c r="H1313"/>
      <c r="I1313"/>
      <c r="J1313"/>
      <c r="K1313"/>
      <c r="L1313"/>
    </row>
    <row r="1314" spans="1:12" customHeight="1" ht="11.25">
      <c r="A1314"/>
      <c r="B1314"/>
      <c r="C1314"/>
      <c r="D1314"/>
      <c r="E1314"/>
      <c r="F1314"/>
      <c r="G1314"/>
      <c r="H1314"/>
      <c r="I1314"/>
      <c r="J1314"/>
      <c r="K1314"/>
      <c r="L1314"/>
    </row>
    <row r="1315" spans="1:12" customHeight="1" ht="11.25">
      <c r="A1315"/>
      <c r="B1315"/>
      <c r="C1315"/>
      <c r="D1315"/>
      <c r="E1315"/>
      <c r="F1315"/>
      <c r="G1315"/>
      <c r="H1315"/>
      <c r="I1315"/>
      <c r="J1315"/>
      <c r="K1315"/>
      <c r="L1315"/>
    </row>
    <row r="2375" spans="1:12" customHeight="1" ht="12.75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4:E9"/>
    <mergeCell ref="J7:K7"/>
    <mergeCell ref="A1:L1"/>
  </mergeCells>
  <hyperlinks>
    <hyperlink ref="G8" r:id="rId_hyperlink_1"/>
    <hyperlink ref="G9" r:id="rId_hyperlink_2"/>
    <hyperlink ref="E2" r:id="rId_hyperlink_3"/>
    <hyperlink ref="E13" r:id="rId_hyperlink_4"/>
  </hyperlinks>
  <printOptions gridLines="false" gridLinesSet="true"/>
  <pageMargins left="0.1968503937007874" right="0.1968503937007874" top="0.3937007874015748" bottom="0.3937007874015748" header="0.5118110236220472" footer="0.5118110236220472"/>
  <pageSetup paperSize="9" orientation="landscape" scale="100" fitToHeight="1" fitToWidth="1"/>
  <headerFooter differentOddEven="false" differentFirst="false" scaleWithDoc="true" alignWithMargins="fals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0" workbookViewId="0" showGridLines="true" showRowColHeaders="1">
      <selection activeCell="C7" sqref="C7"/>
    </sheetView>
  </sheetViews>
  <sheetFormatPr customHeight="true" defaultRowHeight="18" outlineLevelRow="0" outlineLevelCol="0"/>
  <cols>
    <col min="1" max="1" width="9.140625" customWidth="true" style="3"/>
    <col min="2" max="2" width="9.140625" customWidth="true" style="3"/>
  </cols>
  <sheetData>
    <row r="1" spans="1:4" customHeight="1" ht="18">
      <c r="A1" s="3" t="s">
        <v>1054</v>
      </c>
      <c r="B1" s="3">
        <v>1</v>
      </c>
      <c r="C1" s="3" t="s">
        <v>1054</v>
      </c>
      <c r="D1" s="3">
        <v>1</v>
      </c>
    </row>
    <row r="2" spans="1:4" customHeight="1" ht="18">
      <c r="A2" s="3" t="s">
        <v>1055</v>
      </c>
      <c r="C2" s="3" t="s">
        <v>1056</v>
      </c>
    </row>
    <row r="3" spans="1:4" customHeight="1" ht="18">
      <c r="A3" s="3" t="s">
        <v>1057</v>
      </c>
      <c r="C3" s="3" t="s">
        <v>1058</v>
      </c>
    </row>
    <row r="4" spans="1:4" customHeight="1" ht="18">
      <c r="A4" s="3" t="s">
        <v>1059</v>
      </c>
      <c r="C4" s="3" t="s">
        <v>1060</v>
      </c>
    </row>
    <row r="5" spans="1:4" customHeight="1" ht="18">
      <c r="A5" s="3" t="s">
        <v>1061</v>
      </c>
      <c r="C5" s="3" t="s">
        <v>1062</v>
      </c>
    </row>
    <row r="6" spans="1:4" customHeight="1" ht="18">
      <c r="A6" s="3" t="s">
        <v>1063</v>
      </c>
      <c r="C6" s="3" t="s">
        <v>1064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fals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Ð¯</dc:creator>
  <cp:lastModifiedBy>PowerUser</cp:lastModifiedBy>
  <dcterms:created xsi:type="dcterms:W3CDTF">2008-11-01T19:45:04+03:00</dcterms:created>
  <dcterms:modified xsi:type="dcterms:W3CDTF">2023-05-13T13:11:29+03:00</dcterms:modified>
  <dc:title>Untitled Spreadsheet</dc:title>
  <dc:description/>
  <dc:subject/>
  <cp:keywords/>
  <cp:category/>
</cp:coreProperties>
</file>